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8125" windowHeight="12495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MADRE!$A$5:$S$121</definedName>
    <definedName name="_xlnm.Print_Area" localSheetId="0">MADRE!$A$1:$H$531</definedName>
  </definedNames>
  <calcPr calcId="162913"/>
</workbook>
</file>

<file path=xl/calcChain.xml><?xml version="1.0" encoding="utf-8"?>
<calcChain xmlns="http://schemas.openxmlformats.org/spreadsheetml/2006/main">
  <c r="B531" i="6" l="1"/>
  <c r="B530" i="6"/>
  <c r="B529" i="6"/>
  <c r="B528" i="6"/>
  <c r="B527" i="6"/>
  <c r="B526" i="6"/>
  <c r="G519" i="6"/>
  <c r="F519" i="6"/>
  <c r="E519" i="6"/>
  <c r="D519" i="6"/>
  <c r="C518" i="6"/>
  <c r="C519" i="6" s="1"/>
  <c r="G511" i="6"/>
  <c r="F511" i="6"/>
  <c r="E511" i="6"/>
  <c r="E512" i="6" s="1"/>
  <c r="D511" i="6"/>
  <c r="C510" i="6"/>
  <c r="H510" i="6" s="1"/>
  <c r="C509" i="6"/>
  <c r="H509" i="6" s="1"/>
  <c r="C508" i="6"/>
  <c r="H508" i="6" s="1"/>
  <c r="C507" i="6"/>
  <c r="H507" i="6" s="1"/>
  <c r="C506" i="6"/>
  <c r="H506" i="6" s="1"/>
  <c r="C505" i="6"/>
  <c r="H505" i="6" s="1"/>
  <c r="C504" i="6"/>
  <c r="G502" i="6"/>
  <c r="F502" i="6"/>
  <c r="E502" i="6"/>
  <c r="D502" i="6"/>
  <c r="C501" i="6"/>
  <c r="H501" i="6" s="1"/>
  <c r="C500" i="6"/>
  <c r="H500" i="6" s="1"/>
  <c r="C499" i="6"/>
  <c r="H499" i="6" s="1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G456" i="6"/>
  <c r="F456" i="6"/>
  <c r="E456" i="6"/>
  <c r="D456" i="6"/>
  <c r="C455" i="6"/>
  <c r="H455" i="6" s="1"/>
  <c r="C454" i="6"/>
  <c r="H454" i="6" s="1"/>
  <c r="G451" i="6"/>
  <c r="G457" i="6" s="1"/>
  <c r="F451" i="6"/>
  <c r="F457" i="6" s="1"/>
  <c r="E451" i="6"/>
  <c r="E457" i="6" s="1"/>
  <c r="C450" i="6"/>
  <c r="H450" i="6" s="1"/>
  <c r="C449" i="6"/>
  <c r="H449" i="6" s="1"/>
  <c r="C448" i="6"/>
  <c r="H448" i="6" s="1"/>
  <c r="C447" i="6"/>
  <c r="H447" i="6" s="1"/>
  <c r="C446" i="6"/>
  <c r="H446" i="6" s="1"/>
  <c r="C445" i="6"/>
  <c r="H445" i="6" s="1"/>
  <c r="C444" i="6"/>
  <c r="H444" i="6" s="1"/>
  <c r="C443" i="6"/>
  <c r="H443" i="6" s="1"/>
  <c r="D442" i="6"/>
  <c r="C442" i="6"/>
  <c r="D441" i="6"/>
  <c r="D451" i="6" s="1"/>
  <c r="D457" i="6" s="1"/>
  <c r="C441" i="6"/>
  <c r="C451" i="6" s="1"/>
  <c r="G435" i="6"/>
  <c r="F435" i="6"/>
  <c r="E435" i="6"/>
  <c r="H434" i="6"/>
  <c r="H433" i="6"/>
  <c r="C432" i="6"/>
  <c r="H432" i="6" s="1"/>
  <c r="C431" i="6"/>
  <c r="H431" i="6" s="1"/>
  <c r="C430" i="6"/>
  <c r="H430" i="6" s="1"/>
  <c r="H429" i="6"/>
  <c r="D428" i="6"/>
  <c r="D435" i="6" s="1"/>
  <c r="C428" i="6"/>
  <c r="C427" i="6"/>
  <c r="H427" i="6" s="1"/>
  <c r="C426" i="6"/>
  <c r="G420" i="6"/>
  <c r="F420" i="6"/>
  <c r="E420" i="6"/>
  <c r="C419" i="6"/>
  <c r="H419" i="6" s="1"/>
  <c r="C418" i="6"/>
  <c r="H418" i="6" s="1"/>
  <c r="D417" i="6"/>
  <c r="D420" i="6" s="1"/>
  <c r="C417" i="6"/>
  <c r="C420" i="6" s="1"/>
  <c r="G411" i="6"/>
  <c r="F411" i="6"/>
  <c r="E411" i="6"/>
  <c r="C410" i="6"/>
  <c r="H410" i="6" s="1"/>
  <c r="D409" i="6"/>
  <c r="C409" i="6"/>
  <c r="D408" i="6"/>
  <c r="C408" i="6"/>
  <c r="C407" i="6"/>
  <c r="H407" i="6" s="1"/>
  <c r="C406" i="6"/>
  <c r="H406" i="6" s="1"/>
  <c r="C405" i="6"/>
  <c r="H405" i="6" s="1"/>
  <c r="D404" i="6"/>
  <c r="C404" i="6"/>
  <c r="D403" i="6"/>
  <c r="C403" i="6"/>
  <c r="D402" i="6"/>
  <c r="C402" i="6"/>
  <c r="B399" i="6"/>
  <c r="G395" i="6"/>
  <c r="F395" i="6"/>
  <c r="E395" i="6"/>
  <c r="D395" i="6"/>
  <c r="C394" i="6"/>
  <c r="G391" i="6"/>
  <c r="F391" i="6"/>
  <c r="E391" i="6"/>
  <c r="D390" i="6"/>
  <c r="C390" i="6"/>
  <c r="C389" i="6"/>
  <c r="H389" i="6" s="1"/>
  <c r="D388" i="6"/>
  <c r="C388" i="6"/>
  <c r="C387" i="6"/>
  <c r="H387" i="6" s="1"/>
  <c r="C386" i="6"/>
  <c r="H386" i="6" s="1"/>
  <c r="C385" i="6"/>
  <c r="H385" i="6" s="1"/>
  <c r="C384" i="6"/>
  <c r="H384" i="6" s="1"/>
  <c r="D383" i="6"/>
  <c r="C383" i="6"/>
  <c r="G380" i="6"/>
  <c r="F380" i="6"/>
  <c r="C379" i="6"/>
  <c r="H379" i="6" s="1"/>
  <c r="C378" i="6"/>
  <c r="H378" i="6" s="1"/>
  <c r="C377" i="6"/>
  <c r="H377" i="6" s="1"/>
  <c r="C376" i="6"/>
  <c r="H376" i="6" s="1"/>
  <c r="C375" i="6"/>
  <c r="H375" i="6" s="1"/>
  <c r="D374" i="6"/>
  <c r="D380" i="6" s="1"/>
  <c r="C374" i="6"/>
  <c r="H374" i="6" s="1"/>
  <c r="E373" i="6"/>
  <c r="E380" i="6" s="1"/>
  <c r="C373" i="6"/>
  <c r="H373" i="6" s="1"/>
  <c r="C372" i="6"/>
  <c r="H372" i="6" s="1"/>
  <c r="C371" i="6"/>
  <c r="H371" i="6" s="1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G360" i="6"/>
  <c r="F360" i="6"/>
  <c r="E360" i="6"/>
  <c r="C359" i="6"/>
  <c r="H359" i="6" s="1"/>
  <c r="D358" i="6"/>
  <c r="C358" i="6"/>
  <c r="H358" i="6" s="1"/>
  <c r="D357" i="6"/>
  <c r="D360" i="6" s="1"/>
  <c r="C357" i="6"/>
  <c r="C360" i="6" s="1"/>
  <c r="G354" i="6"/>
  <c r="F354" i="6"/>
  <c r="E354" i="6"/>
  <c r="H353" i="6"/>
  <c r="C353" i="6"/>
  <c r="H352" i="6"/>
  <c r="C352" i="6"/>
  <c r="H351" i="6"/>
  <c r="C351" i="6"/>
  <c r="H350" i="6"/>
  <c r="C349" i="6"/>
  <c r="H349" i="6" s="1"/>
  <c r="C348" i="6"/>
  <c r="H348" i="6" s="1"/>
  <c r="D347" i="6"/>
  <c r="C347" i="6"/>
  <c r="H346" i="6"/>
  <c r="D345" i="6"/>
  <c r="C345" i="6"/>
  <c r="D344" i="6"/>
  <c r="C344" i="6"/>
  <c r="G341" i="6"/>
  <c r="F341" i="6"/>
  <c r="E341" i="6"/>
  <c r="D340" i="6"/>
  <c r="D341" i="6" s="1"/>
  <c r="C340" i="6"/>
  <c r="C341" i="6" s="1"/>
  <c r="G336" i="6"/>
  <c r="F336" i="6"/>
  <c r="E336" i="6"/>
  <c r="C335" i="6"/>
  <c r="H335" i="6" s="1"/>
  <c r="D334" i="6"/>
  <c r="C334" i="6"/>
  <c r="H334" i="6" s="1"/>
  <c r="H333" i="6"/>
  <c r="H332" i="6"/>
  <c r="C332" i="6"/>
  <c r="H331" i="6"/>
  <c r="C331" i="6"/>
  <c r="H330" i="6"/>
  <c r="C330" i="6"/>
  <c r="H329" i="6"/>
  <c r="C329" i="6"/>
  <c r="H328" i="6"/>
  <c r="C328" i="6"/>
  <c r="D327" i="6"/>
  <c r="C327" i="6"/>
  <c r="D326" i="6"/>
  <c r="C326" i="6"/>
  <c r="H325" i="6"/>
  <c r="C325" i="6"/>
  <c r="H324" i="6"/>
  <c r="C324" i="6"/>
  <c r="D323" i="6"/>
  <c r="C323" i="6"/>
  <c r="D322" i="6"/>
  <c r="C322" i="6"/>
  <c r="D321" i="6"/>
  <c r="C321" i="6"/>
  <c r="D320" i="6"/>
  <c r="D336" i="6" s="1"/>
  <c r="C320" i="6"/>
  <c r="G314" i="6"/>
  <c r="F314" i="6"/>
  <c r="E314" i="6"/>
  <c r="D314" i="6"/>
  <c r="C314" i="6"/>
  <c r="H313" i="6"/>
  <c r="H314" i="6" s="1"/>
  <c r="G307" i="6"/>
  <c r="F307" i="6"/>
  <c r="E307" i="6"/>
  <c r="D306" i="6"/>
  <c r="C306" i="6"/>
  <c r="C305" i="6"/>
  <c r="H305" i="6" s="1"/>
  <c r="D304" i="6"/>
  <c r="C304" i="6"/>
  <c r="G297" i="6"/>
  <c r="F297" i="6"/>
  <c r="E297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K285" i="6"/>
  <c r="D285" i="6"/>
  <c r="C285" i="6"/>
  <c r="G282" i="6"/>
  <c r="F282" i="6"/>
  <c r="E282" i="6"/>
  <c r="D281" i="6"/>
  <c r="C281" i="6"/>
  <c r="D280" i="6"/>
  <c r="C280" i="6"/>
  <c r="D279" i="6"/>
  <c r="C279" i="6"/>
  <c r="D278" i="6"/>
  <c r="C278" i="6"/>
  <c r="D277" i="6"/>
  <c r="C277" i="6"/>
  <c r="D276" i="6"/>
  <c r="D282" i="6" s="1"/>
  <c r="C276" i="6"/>
  <c r="H275" i="6"/>
  <c r="G272" i="6"/>
  <c r="F272" i="6"/>
  <c r="E272" i="6"/>
  <c r="D271" i="6"/>
  <c r="C271" i="6"/>
  <c r="D270" i="6"/>
  <c r="C270" i="6"/>
  <c r="D269" i="6"/>
  <c r="C269" i="6"/>
  <c r="G266" i="6"/>
  <c r="F266" i="6"/>
  <c r="E266" i="6"/>
  <c r="D265" i="6"/>
  <c r="C265" i="6"/>
  <c r="D264" i="6"/>
  <c r="D266" i="6" s="1"/>
  <c r="C264" i="6"/>
  <c r="C266" i="6" s="1"/>
  <c r="G258" i="6"/>
  <c r="F258" i="6"/>
  <c r="E258" i="6"/>
  <c r="C257" i="6"/>
  <c r="H257" i="6" s="1"/>
  <c r="C256" i="6"/>
  <c r="H256" i="6" s="1"/>
  <c r="D255" i="6"/>
  <c r="D258" i="6" s="1"/>
  <c r="C255" i="6"/>
  <c r="C258" i="6" s="1"/>
  <c r="G249" i="6"/>
  <c r="F249" i="6"/>
  <c r="E249" i="6"/>
  <c r="C248" i="6"/>
  <c r="H248" i="6" s="1"/>
  <c r="D247" i="6"/>
  <c r="C247" i="6"/>
  <c r="C246" i="6"/>
  <c r="H246" i="6" s="1"/>
  <c r="D245" i="6"/>
  <c r="C245" i="6"/>
  <c r="G239" i="6"/>
  <c r="F239" i="6"/>
  <c r="E239" i="6"/>
  <c r="C238" i="6"/>
  <c r="H238" i="6" s="1"/>
  <c r="D237" i="6"/>
  <c r="C237" i="6"/>
  <c r="H236" i="6"/>
  <c r="C236" i="6"/>
  <c r="H235" i="6"/>
  <c r="C235" i="6"/>
  <c r="H234" i="6"/>
  <c r="C234" i="6"/>
  <c r="H233" i="6"/>
  <c r="C233" i="6"/>
  <c r="H232" i="6"/>
  <c r="C232" i="6"/>
  <c r="H231" i="6"/>
  <c r="C231" i="6"/>
  <c r="H230" i="6"/>
  <c r="C230" i="6"/>
  <c r="H229" i="6"/>
  <c r="C229" i="6"/>
  <c r="H228" i="6"/>
  <c r="C228" i="6"/>
  <c r="H227" i="6"/>
  <c r="C227" i="6"/>
  <c r="H226" i="6"/>
  <c r="C226" i="6"/>
  <c r="H225" i="6"/>
  <c r="C225" i="6"/>
  <c r="H224" i="6"/>
  <c r="C224" i="6"/>
  <c r="D223" i="6"/>
  <c r="C223" i="6"/>
  <c r="C239" i="6" s="1"/>
  <c r="B220" i="6"/>
  <c r="B219" i="6"/>
  <c r="G217" i="6"/>
  <c r="F217" i="6"/>
  <c r="E217" i="6"/>
  <c r="C215" i="6"/>
  <c r="H215" i="6" s="1"/>
  <c r="D214" i="6"/>
  <c r="D217" i="6" s="1"/>
  <c r="C214" i="6"/>
  <c r="C217" i="6" s="1"/>
  <c r="G207" i="6"/>
  <c r="F207" i="6"/>
  <c r="E207" i="6"/>
  <c r="D206" i="6"/>
  <c r="C206" i="6"/>
  <c r="H206" i="6" s="1"/>
  <c r="D205" i="6"/>
  <c r="C205" i="6"/>
  <c r="D204" i="6"/>
  <c r="C204" i="6"/>
  <c r="H204" i="6" s="1"/>
  <c r="D203" i="6"/>
  <c r="C203" i="6"/>
  <c r="H203" i="6" s="1"/>
  <c r="D202" i="6"/>
  <c r="C202" i="6"/>
  <c r="H202" i="6" s="1"/>
  <c r="D201" i="6"/>
  <c r="C201" i="6"/>
  <c r="D200" i="6"/>
  <c r="C200" i="6"/>
  <c r="H200" i="6" s="1"/>
  <c r="D199" i="6"/>
  <c r="C199" i="6"/>
  <c r="H199" i="6" s="1"/>
  <c r="D198" i="6"/>
  <c r="C198" i="6"/>
  <c r="D197" i="6"/>
  <c r="D207" i="6" s="1"/>
  <c r="C197" i="6"/>
  <c r="G194" i="6"/>
  <c r="F194" i="6"/>
  <c r="F208" i="6" s="1"/>
  <c r="E194" i="6"/>
  <c r="D193" i="6"/>
  <c r="C193" i="6"/>
  <c r="D192" i="6"/>
  <c r="C192" i="6"/>
  <c r="C191" i="6"/>
  <c r="H191" i="6" s="1"/>
  <c r="D190" i="6"/>
  <c r="C190" i="6"/>
  <c r="D189" i="6"/>
  <c r="C189" i="6"/>
  <c r="G183" i="6"/>
  <c r="F183" i="6"/>
  <c r="E183" i="6"/>
  <c r="D183" i="6"/>
  <c r="C183" i="6"/>
  <c r="H182" i="6"/>
  <c r="H183" i="6" s="1"/>
  <c r="G176" i="6"/>
  <c r="F176" i="6"/>
  <c r="E176" i="6"/>
  <c r="D175" i="6"/>
  <c r="D176" i="6" s="1"/>
  <c r="C175" i="6"/>
  <c r="C176" i="6" s="1"/>
  <c r="G169" i="6"/>
  <c r="F169" i="6"/>
  <c r="E169" i="6"/>
  <c r="C168" i="6"/>
  <c r="H168" i="6" s="1"/>
  <c r="D167" i="6"/>
  <c r="D169" i="6" s="1"/>
  <c r="C167" i="6"/>
  <c r="C169" i="6" s="1"/>
  <c r="G161" i="6"/>
  <c r="F161" i="6"/>
  <c r="E161" i="6"/>
  <c r="C160" i="6"/>
  <c r="H160" i="6" s="1"/>
  <c r="D159" i="6"/>
  <c r="D161" i="6" s="1"/>
  <c r="C159" i="6"/>
  <c r="C161" i="6" s="1"/>
  <c r="G153" i="6"/>
  <c r="F153" i="6"/>
  <c r="E153" i="6"/>
  <c r="D152" i="6"/>
  <c r="C152" i="6"/>
  <c r="C151" i="6"/>
  <c r="H151" i="6" s="1"/>
  <c r="D150" i="6"/>
  <c r="C150" i="6"/>
  <c r="D149" i="6"/>
  <c r="C149" i="6"/>
  <c r="D148" i="6"/>
  <c r="C148" i="6"/>
  <c r="C147" i="6"/>
  <c r="H147" i="6" s="1"/>
  <c r="D146" i="6"/>
  <c r="C146" i="6"/>
  <c r="G140" i="6"/>
  <c r="F140" i="6"/>
  <c r="E140" i="6"/>
  <c r="C139" i="6"/>
  <c r="H139" i="6" s="1"/>
  <c r="C138" i="6"/>
  <c r="H138" i="6" s="1"/>
  <c r="C137" i="6"/>
  <c r="H137" i="6" s="1"/>
  <c r="C136" i="6"/>
  <c r="H136" i="6" s="1"/>
  <c r="D135" i="6"/>
  <c r="C135" i="6"/>
  <c r="D134" i="6"/>
  <c r="D140" i="6" s="1"/>
  <c r="C134" i="6"/>
  <c r="G128" i="6"/>
  <c r="F128" i="6"/>
  <c r="E128" i="6"/>
  <c r="C127" i="6"/>
  <c r="H127" i="6" s="1"/>
  <c r="C126" i="6"/>
  <c r="H126" i="6" s="1"/>
  <c r="C125" i="6"/>
  <c r="H125" i="6" s="1"/>
  <c r="C124" i="6"/>
  <c r="H124" i="6" s="1"/>
  <c r="D123" i="6"/>
  <c r="D128" i="6" s="1"/>
  <c r="C123" i="6"/>
  <c r="C128" i="6" s="1"/>
  <c r="G116" i="6"/>
  <c r="F116" i="6"/>
  <c r="E116" i="6"/>
  <c r="C115" i="6"/>
  <c r="H115" i="6" s="1"/>
  <c r="D114" i="6"/>
  <c r="D116" i="6" s="1"/>
  <c r="C114" i="6"/>
  <c r="C116" i="6" s="1"/>
  <c r="G108" i="6"/>
  <c r="F108" i="6"/>
  <c r="E108" i="6"/>
  <c r="D107" i="6"/>
  <c r="C107" i="6"/>
  <c r="C106" i="6"/>
  <c r="H106" i="6" s="1"/>
  <c r="C105" i="6"/>
  <c r="H105" i="6" s="1"/>
  <c r="C104" i="6"/>
  <c r="H104" i="6" s="1"/>
  <c r="C103" i="6"/>
  <c r="H103" i="6" s="1"/>
  <c r="D102" i="6"/>
  <c r="C102" i="6"/>
  <c r="D101" i="6"/>
  <c r="D108" i="6" s="1"/>
  <c r="C101" i="6"/>
  <c r="G95" i="6"/>
  <c r="F95" i="6"/>
  <c r="E95" i="6"/>
  <c r="D94" i="6"/>
  <c r="D95" i="6" s="1"/>
  <c r="C94" i="6"/>
  <c r="C95" i="6" s="1"/>
  <c r="G88" i="6"/>
  <c r="F88" i="6"/>
  <c r="E88" i="6"/>
  <c r="D87" i="6"/>
  <c r="D88" i="6" s="1"/>
  <c r="C87" i="6"/>
  <c r="C88" i="6" s="1"/>
  <c r="H86" i="6"/>
  <c r="F86" i="6"/>
  <c r="E86" i="6"/>
  <c r="D86" i="6"/>
  <c r="C86" i="6"/>
  <c r="B86" i="6"/>
  <c r="G81" i="6"/>
  <c r="F81" i="6"/>
  <c r="E81" i="6"/>
  <c r="C80" i="6"/>
  <c r="H80" i="6" s="1"/>
  <c r="D79" i="6"/>
  <c r="D81" i="6" s="1"/>
  <c r="C79" i="6"/>
  <c r="C81" i="6" s="1"/>
  <c r="H78" i="6"/>
  <c r="E78" i="6"/>
  <c r="D78" i="6"/>
  <c r="C78" i="6"/>
  <c r="B78" i="6"/>
  <c r="A78" i="6"/>
  <c r="H73" i="6"/>
  <c r="G73" i="6"/>
  <c r="F73" i="6"/>
  <c r="E73" i="6"/>
  <c r="D73" i="6"/>
  <c r="C73" i="6"/>
  <c r="G66" i="6"/>
  <c r="F66" i="6"/>
  <c r="E66" i="6"/>
  <c r="D65" i="6"/>
  <c r="D66" i="6" s="1"/>
  <c r="C65" i="6"/>
  <c r="C66" i="6" s="1"/>
  <c r="G58" i="6"/>
  <c r="F58" i="6"/>
  <c r="E58" i="6"/>
  <c r="D58" i="6"/>
  <c r="C57" i="6"/>
  <c r="C58" i="6" s="1"/>
  <c r="G54" i="6"/>
  <c r="G59" i="6" s="1"/>
  <c r="F54" i="6"/>
  <c r="E54" i="6"/>
  <c r="E59" i="6" s="1"/>
  <c r="D53" i="6"/>
  <c r="C53" i="6"/>
  <c r="D52" i="6"/>
  <c r="C52" i="6"/>
  <c r="C51" i="6"/>
  <c r="H51" i="6" s="1"/>
  <c r="D50" i="6"/>
  <c r="C50" i="6"/>
  <c r="D47" i="6"/>
  <c r="C47" i="6"/>
  <c r="G41" i="6"/>
  <c r="F41" i="6"/>
  <c r="E41" i="6"/>
  <c r="D40" i="6"/>
  <c r="C40" i="6"/>
  <c r="D39" i="6"/>
  <c r="C39" i="6"/>
  <c r="D38" i="6"/>
  <c r="D41" i="6" s="1"/>
  <c r="C38" i="6"/>
  <c r="C41" i="6" s="1"/>
  <c r="G32" i="6"/>
  <c r="F32" i="6"/>
  <c r="E32" i="6"/>
  <c r="D31" i="6"/>
  <c r="C31" i="6"/>
  <c r="D30" i="6"/>
  <c r="D32" i="6" s="1"/>
  <c r="C30" i="6"/>
  <c r="G24" i="6"/>
  <c r="F24" i="6"/>
  <c r="E24" i="6"/>
  <c r="C23" i="6"/>
  <c r="H23" i="6" s="1"/>
  <c r="C22" i="6"/>
  <c r="H22" i="6" s="1"/>
  <c r="D21" i="6"/>
  <c r="D24" i="6" s="1"/>
  <c r="C21" i="6"/>
  <c r="C24" i="6" s="1"/>
  <c r="H20" i="6"/>
  <c r="G20" i="6"/>
  <c r="G29" i="6" s="1"/>
  <c r="G37" i="6" s="1"/>
  <c r="G46" i="6" s="1"/>
  <c r="G56" i="6" s="1"/>
  <c r="G64" i="6" s="1"/>
  <c r="G78" i="6" s="1"/>
  <c r="G86" i="6" s="1"/>
  <c r="G93" i="6" s="1"/>
  <c r="G100" i="6" s="1"/>
  <c r="G113" i="6" s="1"/>
  <c r="G121" i="6" s="1"/>
  <c r="G133" i="6" s="1"/>
  <c r="G145" i="6" s="1"/>
  <c r="G158" i="6" s="1"/>
  <c r="G166" i="6" s="1"/>
  <c r="G174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H30" i="6" l="1"/>
  <c r="H31" i="6"/>
  <c r="F59" i="6"/>
  <c r="D194" i="6"/>
  <c r="D208" i="6" s="1"/>
  <c r="H192" i="6"/>
  <c r="G208" i="6"/>
  <c r="C249" i="6"/>
  <c r="C435" i="6"/>
  <c r="D54" i="6"/>
  <c r="H52" i="6"/>
  <c r="H57" i="6"/>
  <c r="H58" i="6" s="1"/>
  <c r="H101" i="6"/>
  <c r="H102" i="6"/>
  <c r="H107" i="6"/>
  <c r="H148" i="6"/>
  <c r="H149" i="6"/>
  <c r="H150" i="6"/>
  <c r="H190" i="6"/>
  <c r="F298" i="6"/>
  <c r="H270" i="6"/>
  <c r="H271" i="6"/>
  <c r="H277" i="6"/>
  <c r="H278" i="6"/>
  <c r="H279" i="6"/>
  <c r="H281" i="6"/>
  <c r="D297" i="6"/>
  <c r="H286" i="6"/>
  <c r="H287" i="6"/>
  <c r="H290" i="6"/>
  <c r="H291" i="6"/>
  <c r="H292" i="6"/>
  <c r="H294" i="6"/>
  <c r="H295" i="6"/>
  <c r="C307" i="6"/>
  <c r="D391" i="6"/>
  <c r="H390" i="6"/>
  <c r="H408" i="6"/>
  <c r="H426" i="6"/>
  <c r="H456" i="6"/>
  <c r="G512" i="6"/>
  <c r="H518" i="6"/>
  <c r="H519" i="6" s="1"/>
  <c r="D59" i="6"/>
  <c r="C194" i="6"/>
  <c r="C207" i="6"/>
  <c r="D239" i="6"/>
  <c r="C297" i="6"/>
  <c r="H394" i="6"/>
  <c r="H395" i="6" s="1"/>
  <c r="C395" i="6"/>
  <c r="C511" i="6"/>
  <c r="H504" i="6"/>
  <c r="H511" i="6" s="1"/>
  <c r="H7" i="6"/>
  <c r="H9" i="6"/>
  <c r="H10" i="6"/>
  <c r="H11" i="6"/>
  <c r="H13" i="6"/>
  <c r="H14" i="6"/>
  <c r="H39" i="6"/>
  <c r="H40" i="6"/>
  <c r="H47" i="6"/>
  <c r="C140" i="6"/>
  <c r="C153" i="6"/>
  <c r="D153" i="6"/>
  <c r="E208" i="6"/>
  <c r="D249" i="6"/>
  <c r="H265" i="6"/>
  <c r="E298" i="6"/>
  <c r="G298" i="6"/>
  <c r="C380" i="6"/>
  <c r="H363" i="6"/>
  <c r="H380" i="6" s="1"/>
  <c r="C502" i="6"/>
  <c r="H463" i="6"/>
  <c r="H502" i="6" s="1"/>
  <c r="D272" i="6"/>
  <c r="H285" i="6"/>
  <c r="D307" i="6"/>
  <c r="H321" i="6"/>
  <c r="H322" i="6"/>
  <c r="H323" i="6"/>
  <c r="H327" i="6"/>
  <c r="F396" i="6"/>
  <c r="H345" i="6"/>
  <c r="D354" i="6"/>
  <c r="D396" i="6" s="1"/>
  <c r="G396" i="6"/>
  <c r="H388" i="6"/>
  <c r="C411" i="6"/>
  <c r="H403" i="6"/>
  <c r="H442" i="6"/>
  <c r="G181" i="6"/>
  <c r="G188" i="6"/>
  <c r="G196" i="6" s="1"/>
  <c r="G213" i="6" s="1"/>
  <c r="G222" i="6" s="1"/>
  <c r="G244" i="6" s="1"/>
  <c r="G254" i="6" s="1"/>
  <c r="G263" i="6" s="1"/>
  <c r="G268" i="6" s="1"/>
  <c r="G274" i="6" s="1"/>
  <c r="G284" i="6" s="1"/>
  <c r="G303" i="6" s="1"/>
  <c r="G312" i="6" s="1"/>
  <c r="G319" i="6" s="1"/>
  <c r="C32" i="6"/>
  <c r="H87" i="6"/>
  <c r="H88" i="6" s="1"/>
  <c r="C108" i="6"/>
  <c r="H123" i="6"/>
  <c r="H128" i="6" s="1"/>
  <c r="H193" i="6"/>
  <c r="H223" i="6"/>
  <c r="H245" i="6"/>
  <c r="H255" i="6"/>
  <c r="H258" i="6" s="1"/>
  <c r="H288" i="6"/>
  <c r="H304" i="6"/>
  <c r="E528" i="6"/>
  <c r="H417" i="6"/>
  <c r="H420" i="6" s="1"/>
  <c r="E530" i="6"/>
  <c r="H32" i="6"/>
  <c r="C15" i="6"/>
  <c r="H6" i="6"/>
  <c r="H8" i="6"/>
  <c r="H12" i="6"/>
  <c r="H21" i="6"/>
  <c r="H24" i="6" s="1"/>
  <c r="H50" i="6"/>
  <c r="H53" i="6"/>
  <c r="C54" i="6"/>
  <c r="C59" i="6" s="1"/>
  <c r="H134" i="6"/>
  <c r="H135" i="6"/>
  <c r="H152" i="6"/>
  <c r="H159" i="6"/>
  <c r="H161" i="6" s="1"/>
  <c r="H175" i="6"/>
  <c r="H176" i="6" s="1"/>
  <c r="H189" i="6"/>
  <c r="H197" i="6"/>
  <c r="H198" i="6"/>
  <c r="H201" i="6"/>
  <c r="H205" i="6"/>
  <c r="H237" i="6"/>
  <c r="H247" i="6"/>
  <c r="C272" i="6"/>
  <c r="H269" i="6"/>
  <c r="C282" i="6"/>
  <c r="H280" i="6"/>
  <c r="H289" i="6"/>
  <c r="H293" i="6"/>
  <c r="H306" i="6"/>
  <c r="C336" i="6"/>
  <c r="H326" i="6"/>
  <c r="E396" i="6"/>
  <c r="H340" i="6"/>
  <c r="H341" i="6" s="1"/>
  <c r="C354" i="6"/>
  <c r="H344" i="6"/>
  <c r="H347" i="6"/>
  <c r="H357" i="6"/>
  <c r="H360" i="6" s="1"/>
  <c r="C391" i="6"/>
  <c r="H383" i="6"/>
  <c r="D411" i="6"/>
  <c r="C456" i="6"/>
  <c r="C457" i="6" s="1"/>
  <c r="H38" i="6"/>
  <c r="H65" i="6"/>
  <c r="H66" i="6" s="1"/>
  <c r="H79" i="6"/>
  <c r="H81" i="6" s="1"/>
  <c r="H94" i="6"/>
  <c r="H95" i="6" s="1"/>
  <c r="H114" i="6"/>
  <c r="H116" i="6" s="1"/>
  <c r="H146" i="6"/>
  <c r="H167" i="6"/>
  <c r="H169" i="6" s="1"/>
  <c r="H214" i="6"/>
  <c r="H217" i="6" s="1"/>
  <c r="H264" i="6"/>
  <c r="H266" i="6" s="1"/>
  <c r="H276" i="6"/>
  <c r="H320" i="6"/>
  <c r="H404" i="6"/>
  <c r="H409" i="6"/>
  <c r="H428" i="6"/>
  <c r="D512" i="6"/>
  <c r="F512" i="6"/>
  <c r="E529" i="6"/>
  <c r="H402" i="6"/>
  <c r="H441" i="6"/>
  <c r="H435" i="6" l="1"/>
  <c r="H282" i="6"/>
  <c r="H298" i="6" s="1"/>
  <c r="H153" i="6"/>
  <c r="H391" i="6"/>
  <c r="C298" i="6"/>
  <c r="H108" i="6"/>
  <c r="H272" i="6"/>
  <c r="H194" i="6"/>
  <c r="D298" i="6"/>
  <c r="C208" i="6"/>
  <c r="H451" i="6"/>
  <c r="H457" i="6" s="1"/>
  <c r="H336" i="6"/>
  <c r="H41" i="6"/>
  <c r="H140" i="6"/>
  <c r="H297" i="6"/>
  <c r="H512" i="6"/>
  <c r="C512" i="6"/>
  <c r="C396" i="6"/>
  <c r="H207" i="6"/>
  <c r="H307" i="6"/>
  <c r="H239" i="6"/>
  <c r="G343" i="6"/>
  <c r="G356" i="6" s="1"/>
  <c r="G362" i="6" s="1"/>
  <c r="G382" i="6" s="1"/>
  <c r="G393" i="6" s="1"/>
  <c r="G401" i="6" s="1"/>
  <c r="G416" i="6" s="1"/>
  <c r="G425" i="6" s="1"/>
  <c r="G440" i="6" s="1"/>
  <c r="G453" i="6" s="1"/>
  <c r="G462" i="6" s="1"/>
  <c r="G338" i="6"/>
  <c r="H411" i="6"/>
  <c r="H354" i="6"/>
  <c r="H396" i="6" s="1"/>
  <c r="H54" i="6"/>
  <c r="H59" i="6" s="1"/>
  <c r="H15" i="6"/>
  <c r="H249" i="6"/>
  <c r="H208" i="6" l="1"/>
</calcChain>
</file>

<file path=xl/sharedStrings.xml><?xml version="1.0" encoding="utf-8"?>
<sst xmlns="http://schemas.openxmlformats.org/spreadsheetml/2006/main" count="908" uniqueCount="411">
  <si>
    <t>GOBIERNO MUNICIPAL DE AYOTLÁN, JALISCO</t>
  </si>
  <si>
    <t>ADMINISTRACIÓN 2021-2024</t>
  </si>
  <si>
    <t>Nómina que corresponde a la 2DA  (SEGUNDA    ) quincena del mes de MAYO de 2023.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</si>
  <si>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</si>
  <si>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</si>
  <si>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</si>
  <si>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</si>
  <si>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</si>
  <si>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</si>
  <si>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</si>
  <si>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</si>
  <si>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</si>
  <si>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</si>
  <si>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</si>
  <si>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</si>
  <si>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</si>
  <si>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</si>
  <si>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</si>
  <si>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>Jose Guadalupe Mares Garcia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</si>
  <si>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</si>
  <si>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</si>
  <si>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</si>
  <si>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</si>
  <si>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</si>
  <si>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</si>
  <si>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</si>
  <si>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Claudia Ibet Ayala Razo </t>
  </si>
  <si>
    <t>Secretaria</t>
  </si>
  <si>
    <t>Vicente Velazquez Camarena</t>
  </si>
  <si>
    <t>Secretario atencion ciudadana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</si>
  <si>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</si>
  <si>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</si>
  <si>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</si>
  <si>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</si>
  <si>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</si>
  <si>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</si>
  <si>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</si>
  <si>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</si>
  <si>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</si>
  <si>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4) HACIENDA MUNICIPAL (HM).</t>
  </si>
  <si>
    <t xml:space="preserve">Leidy Elizabeth Alatorre Barajas </t>
  </si>
  <si>
    <t xml:space="preserve">Tesorera </t>
  </si>
  <si>
    <r>
      <rPr>
        <b/>
        <sz val="8"/>
        <color theme="9" tint="-0.249977111117893"/>
        <rFont val="Bookman Old Style"/>
        <charset val="134"/>
      </rPr>
      <t>HACIENDA MUNICIPAL;</t>
    </r>
    <r>
      <rPr>
        <b/>
        <sz val="10"/>
        <color theme="9" tint="-0.249977111117893"/>
        <rFont val="Bookman Old Style"/>
        <charset val="134"/>
      </rPr>
      <t xml:space="preserve"> DEPARTAMENTO DE EGRESOS.</t>
    </r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</si>
  <si>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</si>
  <si>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</si>
  <si>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</si>
  <si>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</si>
  <si>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</si>
  <si>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</si>
  <si>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</si>
  <si>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</si>
  <si>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</si>
  <si>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</si>
  <si>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</si>
  <si>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</si>
  <si>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</si>
  <si>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</si>
  <si>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</si>
  <si>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</si>
  <si>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</si>
  <si>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</si>
  <si>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</si>
  <si>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</si>
  <si>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</si>
  <si>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</si>
  <si>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</si>
  <si>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</si>
  <si>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</si>
  <si>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</si>
  <si>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</si>
  <si>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</si>
  <si>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</si>
  <si>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</si>
  <si>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</si>
  <si>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</si>
  <si>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</si>
  <si>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 xml:space="preserve">Ramiro Marez Ramirez 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</si>
  <si>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</si>
  <si>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</si>
  <si>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</si>
  <si>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</si>
  <si>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</si>
  <si>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</si>
  <si>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</si>
  <si>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</si>
  <si>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</si>
  <si>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</si>
  <si>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 xml:space="preserve">Ana Isabel Gonzalez Lara 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</si>
  <si>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</si>
  <si>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</si>
  <si>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</si>
  <si>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</si>
  <si>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</si>
  <si>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</si>
  <si>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</si>
  <si>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</si>
  <si>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</si>
  <si>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</si>
  <si>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</si>
  <si>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</si>
  <si>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</si>
  <si>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</si>
  <si>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</si>
  <si>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</si>
  <si>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</si>
  <si>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</si>
  <si>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</si>
  <si>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Denildson Jared Segoviano Lopez</t>
  </si>
  <si>
    <t>Secretario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</si>
  <si>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</si>
  <si>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</si>
  <si>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</si>
  <si>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</si>
  <si>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</si>
  <si>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</si>
  <si>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</si>
  <si>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</si>
  <si>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>Juan Pablo Cárdenas Rivera.</t>
  </si>
  <si>
    <r>
      <rPr>
        <b/>
        <sz val="8"/>
        <color theme="9" tint="-0.249977111117893"/>
        <rFont val="Bookman Old Style"/>
        <charset val="134"/>
      </rPr>
      <t>OBRAS PÚBLICAS;</t>
    </r>
    <r>
      <rPr>
        <b/>
        <sz val="10"/>
        <color theme="9" tint="-0.249977111117893"/>
        <rFont val="Bookman Old Style"/>
        <charset val="134"/>
      </rPr>
      <t xml:space="preserve"> DEPARTAMENTO MODULO DE MAQUINARIA.</t>
    </r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</si>
  <si>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</si>
  <si>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</si>
  <si>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</si>
  <si>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</si>
  <si>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</si>
  <si>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</si>
  <si>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</si>
  <si>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</si>
  <si>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</si>
  <si>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</si>
  <si>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</si>
  <si>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</si>
  <si>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</si>
  <si>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</si>
  <si>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</si>
  <si>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</si>
  <si>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Diego Adrian Camacho Arambula</t>
  </si>
  <si>
    <t>Aux Administrativo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</si>
  <si>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</si>
  <si>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</si>
  <si>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</si>
  <si>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</si>
  <si>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</si>
  <si>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</si>
  <si>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</si>
  <si>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</si>
  <si>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</si>
  <si>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</si>
  <si>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</si>
  <si>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</si>
  <si>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</si>
  <si>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</si>
  <si>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</si>
  <si>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Isabel Rodriguez Vazquez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</si>
  <si>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</si>
  <si>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</si>
  <si>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</si>
  <si>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</si>
  <si>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</si>
  <si>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</si>
  <si>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</si>
  <si>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</si>
  <si>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</si>
  <si>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</si>
  <si>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</si>
  <si>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</si>
  <si>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</si>
  <si>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</si>
  <si>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</si>
  <si>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</si>
  <si>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</si>
  <si>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</si>
  <si>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</si>
  <si>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Juan Gabriel Rea Álvarez.</t>
  </si>
  <si>
    <t>Comandante.</t>
  </si>
  <si>
    <t>Abel González Tovar.</t>
  </si>
  <si>
    <t>Teniente.</t>
  </si>
  <si>
    <t>Carlos González Vargas.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</si>
  <si>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</si>
  <si>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</si>
  <si>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</si>
  <si>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</si>
  <si>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</si>
  <si>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</si>
  <si>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</si>
  <si>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Cruz Augusto Ramirez Mulgado</t>
  </si>
  <si>
    <t>Linea.</t>
  </si>
  <si>
    <t>Alex Ivan Salcedo Montes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</si>
  <si>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</si>
  <si>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</si>
  <si>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</si>
  <si>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</si>
  <si>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</si>
  <si>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</si>
  <si>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</si>
  <si>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</si>
  <si>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</si>
  <si>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</si>
  <si>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</si>
  <si>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</si>
  <si>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</si>
  <si>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</si>
  <si>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</si>
  <si>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</si>
  <si>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</si>
  <si>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</si>
  <si>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</si>
  <si>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</si>
  <si>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</si>
  <si>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</si>
  <si>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</si>
  <si>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</si>
  <si>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</si>
  <si>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</si>
  <si>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</si>
  <si>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</si>
  <si>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</si>
  <si>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</si>
  <si>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</si>
  <si>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</si>
  <si>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</si>
  <si>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</si>
  <si>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</si>
  <si>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</si>
  <si>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</si>
  <si>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>Fortino Leon Sierra</t>
  </si>
  <si>
    <t>Manuel Ramírez García.</t>
  </si>
  <si>
    <t>Eduardo Machuca Arellano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</si>
  <si>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</si>
  <si>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</si>
  <si>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</si>
  <si>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</si>
  <si>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</si>
  <si>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</si>
  <si>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</si>
  <si>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</si>
  <si>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</si>
  <si>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</si>
  <si>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</si>
  <si>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Mauricio Urtiz Martinez</t>
  </si>
  <si>
    <t>Albañil de Mantenimiento</t>
  </si>
  <si>
    <t>Ricardo Hernandez Trujillo</t>
  </si>
  <si>
    <t>Juan de Dios Castillo Rivera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</si>
  <si>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</si>
  <si>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</si>
  <si>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</si>
  <si>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</si>
  <si>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</si>
  <si>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</si>
  <si>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</si>
  <si>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</si>
  <si>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</si>
  <si>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</si>
  <si>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</si>
  <si>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</si>
  <si>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</si>
  <si>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</si>
  <si>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</si>
  <si>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</si>
  <si>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</si>
  <si>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</si>
  <si>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</si>
  <si>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</si>
  <si>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</si>
  <si>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</si>
  <si>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</si>
  <si>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</si>
  <si>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</si>
  <si>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</si>
  <si>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</si>
  <si>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</si>
  <si>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</si>
  <si>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</si>
  <si>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</si>
  <si>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</si>
  <si>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</si>
  <si>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</si>
  <si>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</si>
  <si>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</si>
  <si>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</si>
  <si>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</si>
  <si>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</si>
  <si>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</si>
  <si>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</si>
  <si>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</si>
  <si>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</si>
  <si>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</si>
  <si>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</si>
  <si>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</si>
  <si>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</si>
  <si>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</si>
  <si>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</si>
  <si>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</si>
  <si>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Jorge Alberto Navarro Gaytan</t>
  </si>
  <si>
    <t>Joel Aguilar Zabalza</t>
  </si>
  <si>
    <t xml:space="preserve">Jesus Antonio Ibarra Lopez 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</si>
  <si>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</si>
  <si>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</si>
  <si>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</si>
  <si>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</si>
  <si>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</si>
  <si>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</si>
  <si>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</si>
  <si>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</si>
  <si>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</si>
  <si>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</si>
  <si>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</si>
  <si>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</si>
  <si>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</si>
  <si>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</si>
  <si>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</si>
  <si>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</si>
  <si>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</si>
  <si>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</si>
  <si>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</si>
  <si>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</si>
  <si>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</si>
  <si>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</si>
  <si>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</si>
  <si>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</si>
  <si>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</si>
  <si>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</si>
  <si>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</si>
  <si>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</si>
  <si>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</si>
  <si>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Nancy Jackelin Arias Murillo</t>
  </si>
  <si>
    <t>Secretaria delegacion  la Ribera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</si>
  <si>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</si>
  <si>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</si>
  <si>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</si>
  <si>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</si>
  <si>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</si>
  <si>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</si>
  <si>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</si>
  <si>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</si>
  <si>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</si>
  <si>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</si>
  <si>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</si>
  <si>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</si>
  <si>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</si>
  <si>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</si>
  <si>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</si>
  <si>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</si>
  <si>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</si>
  <si>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</si>
  <si>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</si>
  <si>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</si>
  <si>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</si>
  <si>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</si>
  <si>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</si>
  <si>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</si>
  <si>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</si>
  <si>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</si>
  <si>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</si>
  <si>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</si>
  <si>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</si>
  <si>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</si>
  <si>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</si>
  <si>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</si>
  <si>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</si>
  <si>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</si>
  <si>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</si>
  <si>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</si>
  <si>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</si>
  <si>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</si>
  <si>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</si>
  <si>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</si>
  <si>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</si>
  <si>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</si>
  <si>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</si>
  <si>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</si>
  <si>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</si>
  <si>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</si>
  <si>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</si>
  <si>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</si>
  <si>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</si>
  <si>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</si>
  <si>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</si>
  <si>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</si>
  <si>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</si>
  <si>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</si>
  <si>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</si>
  <si>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</si>
  <si>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</si>
  <si>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</si>
  <si>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</si>
  <si>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</si>
  <si>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</si>
  <si>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</si>
  <si>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</si>
  <si>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</si>
  <si>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</si>
  <si>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</si>
  <si>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J. Verenice Ascencio Martínez.</t>
  </si>
  <si>
    <t>Esmeralda Ángel Moreno.</t>
  </si>
  <si>
    <t>Lourdes Garcia Esquivel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</si>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</sst>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(* #,##0.00_);_(* \(#,##0.00\);_(* &quot;-&quot;??_);_(@_)"/>
    <numFmt numFmtId="167" formatCode="_-* #,##0.00\ &quot;€&quot;_-;\-* #,##0.00\ &quot;€&quot;_-;_-* &quot;-&quot;??\ &quot;€&quot;_-;_-@_-"/>
  </numFmts>
  <fonts count="84">
    <font>
      <sz val="10"/>
      <name val="Arial"/>
      <charset val="134"/>
    </font>
    <font>
      <sz val="10"/>
      <name val="Bookman Old Style"/>
      <charset val="134"/>
    </font>
    <font>
      <b/>
      <sz val="10"/>
      <name val="Bookman Old Style"/>
      <charset val="134"/>
    </font>
    <font>
      <b/>
      <sz val="14"/>
      <color rgb="FFFF0000"/>
      <name val="Bookman Old Style"/>
      <charset val="134"/>
    </font>
    <font>
      <sz val="12"/>
      <name val="Bookman Old Style"/>
      <charset val="134"/>
    </font>
    <font>
      <b/>
      <sz val="14"/>
      <name val="Bookman Old Style"/>
      <charset val="134"/>
    </font>
    <font>
      <b/>
      <sz val="12"/>
      <name val="Bookman Old Style"/>
      <charset val="134"/>
    </font>
    <font>
      <sz val="10"/>
      <name val="Arial"/>
      <charset val="134"/>
    </font>
    <font>
      <sz val="14"/>
      <name val="Arial"/>
      <charset val="134"/>
    </font>
    <font>
      <sz val="6"/>
      <name val="Arial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0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4"/>
      <color theme="1"/>
      <name val="Arial"/>
      <charset val="134"/>
    </font>
    <font>
      <sz val="6"/>
      <name val="Bookman Old Style"/>
      <charset val="134"/>
    </font>
    <font>
      <b/>
      <sz val="10"/>
      <name val="Arial"/>
      <charset val="134"/>
    </font>
    <font>
      <b/>
      <sz val="8"/>
      <name val="Bookman Old Style"/>
      <charset val="134"/>
    </font>
    <font>
      <b/>
      <sz val="10"/>
      <color rgb="FF7030A0"/>
      <name val="Arial"/>
      <charset val="134"/>
    </font>
    <font>
      <b/>
      <sz val="14"/>
      <name val="Arial"/>
      <charset val="134"/>
    </font>
    <font>
      <b/>
      <sz val="6"/>
      <name val="Arial"/>
      <charset val="134"/>
    </font>
    <font>
      <b/>
      <sz val="12"/>
      <color rgb="FF7030A0"/>
      <name val="Arial"/>
      <charset val="134"/>
    </font>
    <font>
      <sz val="12"/>
      <name val="Arial"/>
      <charset val="134"/>
    </font>
    <font>
      <b/>
      <sz val="8"/>
      <color theme="9" tint="-0.249977111117893"/>
      <name val="Arial"/>
      <charset val="134"/>
    </font>
    <font>
      <b/>
      <sz val="10"/>
      <color theme="9" tint="-0.249977111117893"/>
      <name val="Bookman Old Style"/>
      <charset val="134"/>
    </font>
    <font>
      <b/>
      <sz val="6"/>
      <color rgb="FF7030A0"/>
      <name val="Arial"/>
      <charset val="134"/>
    </font>
    <font>
      <b/>
      <sz val="11"/>
      <color theme="1"/>
      <name val="Calibri"/>
      <charset val="134"/>
      <scheme val="minor"/>
    </font>
    <font>
      <b/>
      <sz val="6"/>
      <color theme="1"/>
      <name val="Calibri"/>
      <charset val="134"/>
      <scheme val="minor"/>
    </font>
    <font>
      <sz val="11"/>
      <name val="Arial"/>
      <charset val="134"/>
    </font>
    <font>
      <b/>
      <sz val="11"/>
      <color indexed="8"/>
      <name val="Calibri"/>
      <charset val="134"/>
    </font>
    <font>
      <b/>
      <sz val="8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11"/>
      <color theme="9" tint="-0.249977111117893"/>
      <name val="Arial"/>
      <charset val="134"/>
    </font>
    <font>
      <b/>
      <sz val="11"/>
      <name val="Arial"/>
      <charset val="134"/>
    </font>
    <font>
      <b/>
      <sz val="6"/>
      <color rgb="FFFF0000"/>
      <name val="Bookman Old Style"/>
      <charset val="134"/>
    </font>
    <font>
      <b/>
      <sz val="12"/>
      <color theme="1" tint="0.34998626667073579"/>
      <name val="Bookman Old Style"/>
      <charset val="134"/>
    </font>
    <font>
      <b/>
      <sz val="8"/>
      <color theme="1" tint="0.34998626667073579"/>
      <name val="Bookman Old Style"/>
      <charset val="134"/>
    </font>
    <font>
      <b/>
      <sz val="8"/>
      <color theme="9" tint="-0.249977111117893"/>
      <name val="Bookman Old Style"/>
      <charset val="134"/>
    </font>
    <font>
      <b/>
      <sz val="8"/>
      <color theme="1" tint="0.14996795556505021"/>
      <name val="Arial"/>
      <charset val="134"/>
    </font>
    <font>
      <sz val="8"/>
      <color theme="2" tint="-0.89996032593768116"/>
      <name val="Arial"/>
      <charset val="134"/>
    </font>
    <font>
      <sz val="11"/>
      <color indexed="62"/>
      <name val="Arial"/>
      <charset val="134"/>
    </font>
    <font>
      <sz val="6"/>
      <color indexed="62"/>
      <name val="Arial"/>
      <charset val="134"/>
    </font>
    <font>
      <b/>
      <sz val="8"/>
      <name val="Arial"/>
      <charset val="134"/>
    </font>
    <font>
      <b/>
      <sz val="8"/>
      <color rgb="FFFF0000"/>
      <name val="Bookman Old Style"/>
      <charset val="134"/>
    </font>
    <font>
      <sz val="8"/>
      <name val="Arial"/>
      <charset val="134"/>
    </font>
    <font>
      <b/>
      <sz val="8"/>
      <color theme="1" tint="0.499984740745262"/>
      <name val="Bookman Old Style"/>
      <charset val="134"/>
    </font>
    <font>
      <b/>
      <sz val="8"/>
      <color theme="2" tint="-0.89996032593768116"/>
      <name val="Bookman Old Style"/>
      <charset val="134"/>
    </font>
    <font>
      <b/>
      <sz val="11"/>
      <color indexed="63"/>
      <name val="Arial"/>
      <charset val="134"/>
    </font>
    <font>
      <b/>
      <sz val="6"/>
      <color indexed="63"/>
      <name val="Arial"/>
      <charset val="134"/>
    </font>
    <font>
      <b/>
      <sz val="11"/>
      <color rgb="FF7030A0"/>
      <name val="Arial"/>
      <charset val="134"/>
    </font>
    <font>
      <sz val="12"/>
      <color indexed="8"/>
      <name val="Arial"/>
      <charset val="134"/>
    </font>
    <font>
      <sz val="11"/>
      <color indexed="8"/>
      <name val="Arial"/>
      <charset val="134"/>
    </font>
    <font>
      <sz val="6"/>
      <color indexed="8"/>
      <name val="Arial"/>
      <charset val="134"/>
    </font>
    <font>
      <b/>
      <sz val="8"/>
      <color theme="1"/>
      <name val="Arial"/>
      <charset val="134"/>
    </font>
    <font>
      <b/>
      <sz val="11"/>
      <name val="Calibri"/>
      <charset val="134"/>
      <scheme val="minor"/>
    </font>
    <font>
      <sz val="8"/>
      <color theme="1"/>
      <name val="Arial"/>
      <charset val="134"/>
    </font>
    <font>
      <b/>
      <sz val="6"/>
      <name val="Calibri"/>
      <charset val="134"/>
      <scheme val="minor"/>
    </font>
    <font>
      <b/>
      <sz val="8"/>
      <name val="Calibri"/>
      <charset val="134"/>
      <scheme val="minor"/>
    </font>
    <font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sz val="14"/>
      <color indexed="8"/>
      <name val="Arial"/>
      <charset val="134"/>
    </font>
    <font>
      <b/>
      <sz val="11"/>
      <name val="Calibri"/>
      <charset val="134"/>
    </font>
    <font>
      <b/>
      <sz val="8"/>
      <color theme="1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20"/>
      <name val="Calibri"/>
      <charset val="134"/>
    </font>
    <font>
      <sz val="11"/>
      <color indexed="62"/>
      <name val="Calibri"/>
      <charset val="134"/>
    </font>
    <font>
      <b/>
      <sz val="11"/>
      <color indexed="52"/>
      <name val="Calibri"/>
      <charset val="134"/>
    </font>
    <font>
      <b/>
      <sz val="18"/>
      <color indexed="56"/>
      <name val="Cambria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sz val="11"/>
      <color indexed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9" fillId="16" borderId="0" applyNumberFormat="0" applyBorder="0" applyAlignment="0" applyProtection="0"/>
    <xf numFmtId="0" fontId="68" fillId="5" borderId="0" applyNumberFormat="0" applyBorder="0" applyAlignment="0" applyProtection="0"/>
    <xf numFmtId="166" fontId="7" fillId="0" borderId="0" applyFont="0" applyFill="0" applyBorder="0" applyAlignment="0" applyProtection="0"/>
    <xf numFmtId="0" fontId="68" fillId="17" borderId="0" applyNumberFormat="0" applyBorder="0" applyAlignment="0" applyProtection="0"/>
    <xf numFmtId="0" fontId="70" fillId="12" borderId="31" applyNumberFormat="0" applyAlignment="0" applyProtection="0"/>
    <xf numFmtId="0" fontId="67" fillId="13" borderId="31" applyNumberFormat="0" applyAlignment="0" applyProtection="0"/>
    <xf numFmtId="0" fontId="63" fillId="4" borderId="0" applyNumberFormat="0" applyBorder="0" applyAlignment="0" applyProtection="0"/>
    <xf numFmtId="0" fontId="68" fillId="14" borderId="0" applyNumberFormat="0" applyBorder="0" applyAlignment="0" applyProtection="0"/>
    <xf numFmtId="0" fontId="63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4" borderId="0" applyNumberFormat="0" applyBorder="0" applyAlignment="0" applyProtection="0"/>
    <xf numFmtId="0" fontId="69" fillId="15" borderId="0" applyNumberFormat="0" applyBorder="0" applyAlignment="0" applyProtection="0"/>
    <xf numFmtId="0" fontId="68" fillId="23" borderId="0" applyNumberFormat="0" applyBorder="0" applyAlignment="0" applyProtection="0"/>
    <xf numFmtId="0" fontId="68" fillId="20" borderId="0" applyNumberFormat="0" applyBorder="0" applyAlignment="0" applyProtection="0"/>
    <xf numFmtId="0" fontId="68" fillId="16" borderId="0" applyNumberFormat="0" applyBorder="0" applyAlignment="0" applyProtection="0"/>
    <xf numFmtId="0" fontId="68" fillId="24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9" fillId="17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32" borderId="0" applyNumberFormat="0" applyBorder="0" applyAlignment="0" applyProtection="0"/>
    <xf numFmtId="0" fontId="71" fillId="19" borderId="0" applyNumberFormat="0" applyBorder="0" applyAlignment="0" applyProtection="0"/>
    <xf numFmtId="0" fontId="73" fillId="33" borderId="33" applyNumberFormat="0" applyAlignment="0" applyProtection="0"/>
    <xf numFmtId="0" fontId="75" fillId="34" borderId="34" applyNumberFormat="0" applyAlignment="0" applyProtection="0"/>
    <xf numFmtId="167" fontId="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22" borderId="0" applyNumberFormat="0" applyBorder="0" applyAlignment="0" applyProtection="0"/>
    <xf numFmtId="0" fontId="78" fillId="0" borderId="35" applyNumberFormat="0" applyFill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0" fillId="0" borderId="0" applyNumberFormat="0" applyFill="0" applyBorder="0" applyAlignment="0" applyProtection="0"/>
    <xf numFmtId="0" fontId="72" fillId="5" borderId="33" applyNumberFormat="0" applyAlignment="0" applyProtection="0"/>
    <xf numFmtId="0" fontId="81" fillId="0" borderId="38" applyNumberFormat="0" applyFill="0" applyAlignment="0" applyProtection="0"/>
    <xf numFmtId="0" fontId="7" fillId="0" borderId="0"/>
    <xf numFmtId="0" fontId="7" fillId="21" borderId="32" applyNumberFormat="0" applyFont="0" applyAlignment="0" applyProtection="0"/>
    <xf numFmtId="0" fontId="82" fillId="33" borderId="39" applyNumberFormat="0" applyAlignment="0" applyProtection="0"/>
    <xf numFmtId="0" fontId="74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34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/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" fontId="25" fillId="0" borderId="0" xfId="0" applyNumberFormat="1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31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8" borderId="0" xfId="0" applyFont="1" applyFill="1"/>
    <xf numFmtId="0" fontId="1" fillId="2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31" fillId="0" borderId="0" xfId="0" applyFont="1" applyFill="1"/>
    <xf numFmtId="0" fontId="9" fillId="0" borderId="0" xfId="0" applyFont="1" applyFill="1"/>
    <xf numFmtId="164" fontId="33" fillId="0" borderId="0" xfId="2" applyFont="1" applyFill="1"/>
    <xf numFmtId="0" fontId="1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/>
    </xf>
    <xf numFmtId="165" fontId="37" fillId="9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165" fontId="25" fillId="6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65" fontId="25" fillId="0" borderId="17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wrapText="1"/>
    </xf>
    <xf numFmtId="165" fontId="37" fillId="3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165" fontId="31" fillId="6" borderId="0" xfId="0" applyNumberFormat="1" applyFont="1" applyFill="1" applyBorder="1" applyAlignment="1">
      <alignment horizontal="center" vertical="center" wrapText="1"/>
    </xf>
    <xf numFmtId="165" fontId="31" fillId="6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165" fontId="37" fillId="3" borderId="5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165" fontId="31" fillId="6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/>
    </xf>
    <xf numFmtId="165" fontId="31" fillId="6" borderId="17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165" fontId="37" fillId="3" borderId="19" xfId="0" applyNumberFormat="1" applyFont="1" applyFill="1" applyBorder="1" applyAlignment="1">
      <alignment horizontal="right"/>
    </xf>
    <xf numFmtId="165" fontId="37" fillId="3" borderId="0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164" fontId="42" fillId="0" borderId="0" xfId="2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164" fontId="43" fillId="0" borderId="0" xfId="2" applyFont="1" applyFill="1" applyAlignment="1">
      <alignment horizontal="center" vertical="center"/>
    </xf>
    <xf numFmtId="165" fontId="44" fillId="0" borderId="0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/>
    </xf>
    <xf numFmtId="165" fontId="23" fillId="9" borderId="5" xfId="0" applyNumberFormat="1" applyFont="1" applyFill="1" applyBorder="1" applyAlignment="1">
      <alignment horizontal="center" vertical="center"/>
    </xf>
    <xf numFmtId="165" fontId="46" fillId="9" borderId="5" xfId="0" applyNumberFormat="1" applyFont="1" applyFill="1" applyBorder="1" applyAlignment="1">
      <alignment horizontal="center" vertical="center"/>
    </xf>
    <xf numFmtId="164" fontId="26" fillId="0" borderId="0" xfId="2" applyFont="1" applyFill="1" applyBorder="1" applyAlignment="1">
      <alignment horizontal="center" vertical="center" wrapText="1"/>
    </xf>
    <xf numFmtId="165" fontId="9" fillId="6" borderId="0" xfId="0" applyNumberFormat="1" applyFont="1" applyFill="1" applyAlignment="1">
      <alignment horizontal="center" vertical="center"/>
    </xf>
    <xf numFmtId="165" fontId="48" fillId="6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Alignment="1">
      <alignment horizontal="center" vertical="center"/>
    </xf>
    <xf numFmtId="165" fontId="9" fillId="0" borderId="17" xfId="0" applyNumberFormat="1" applyFont="1" applyFill="1" applyBorder="1" applyAlignment="1">
      <alignment horizontal="center" vertical="center"/>
    </xf>
    <xf numFmtId="165" fontId="48" fillId="0" borderId="17" xfId="0" applyNumberFormat="1" applyFont="1" applyFill="1" applyBorder="1" applyAlignment="1">
      <alignment horizontal="center" vertical="center"/>
    </xf>
    <xf numFmtId="165" fontId="23" fillId="3" borderId="0" xfId="0" applyNumberFormat="1" applyFont="1" applyFill="1" applyAlignment="1">
      <alignment horizontal="center" vertical="center"/>
    </xf>
    <xf numFmtId="165" fontId="46" fillId="3" borderId="0" xfId="0" applyNumberFormat="1" applyFont="1" applyFill="1" applyAlignment="1">
      <alignment horizontal="center" vertical="center"/>
    </xf>
    <xf numFmtId="164" fontId="26" fillId="0" borderId="0" xfId="2" applyFont="1" applyFill="1" applyBorder="1" applyAlignment="1">
      <alignment horizontal="center" vertical="center"/>
    </xf>
    <xf numFmtId="165" fontId="9" fillId="6" borderId="0" xfId="0" applyNumberFormat="1" applyFont="1" applyFill="1" applyBorder="1" applyAlignment="1">
      <alignment horizontal="center" vertical="center"/>
    </xf>
    <xf numFmtId="165" fontId="48" fillId="6" borderId="0" xfId="0" applyNumberFormat="1" applyFont="1" applyFill="1" applyBorder="1" applyAlignment="1">
      <alignment horizontal="center" vertical="center"/>
    </xf>
    <xf numFmtId="165" fontId="23" fillId="3" borderId="5" xfId="0" applyNumberFormat="1" applyFont="1" applyFill="1" applyBorder="1" applyAlignment="1">
      <alignment horizontal="center" vertical="center"/>
    </xf>
    <xf numFmtId="165" fontId="46" fillId="3" borderId="5" xfId="0" applyNumberFormat="1" applyFont="1" applyFill="1" applyBorder="1" applyAlignment="1">
      <alignment horizontal="center" vertical="center"/>
    </xf>
    <xf numFmtId="42" fontId="26" fillId="0" borderId="0" xfId="1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/>
    </xf>
    <xf numFmtId="165" fontId="33" fillId="7" borderId="5" xfId="0" applyNumberFormat="1" applyFont="1" applyFill="1" applyBorder="1" applyAlignment="1">
      <alignment horizontal="center" vertical="center"/>
    </xf>
    <xf numFmtId="164" fontId="50" fillId="0" borderId="0" xfId="2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64" fontId="50" fillId="0" borderId="0" xfId="2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9" fillId="6" borderId="17" xfId="0" applyNumberFormat="1" applyFont="1" applyFill="1" applyBorder="1" applyAlignment="1">
      <alignment horizontal="center" vertical="center"/>
    </xf>
    <xf numFmtId="165" fontId="48" fillId="6" borderId="17" xfId="0" applyNumberFormat="1" applyFont="1" applyFill="1" applyBorder="1" applyAlignment="1">
      <alignment horizontal="center" vertical="center"/>
    </xf>
    <xf numFmtId="165" fontId="23" fillId="3" borderId="19" xfId="0" applyNumberFormat="1" applyFont="1" applyFill="1" applyBorder="1" applyAlignment="1">
      <alignment horizontal="right"/>
    </xf>
    <xf numFmtId="165" fontId="46" fillId="3" borderId="19" xfId="0" applyNumberFormat="1" applyFont="1" applyFill="1" applyBorder="1" applyAlignment="1">
      <alignment horizontal="right"/>
    </xf>
    <xf numFmtId="165" fontId="37" fillId="3" borderId="0" xfId="0" applyNumberFormat="1" applyFont="1" applyFill="1" applyAlignment="1">
      <alignment horizontal="right" vertical="center"/>
    </xf>
    <xf numFmtId="165" fontId="23" fillId="3" borderId="0" xfId="0" applyNumberFormat="1" applyFont="1" applyFill="1" applyAlignment="1">
      <alignment horizontal="right" vertical="center"/>
    </xf>
    <xf numFmtId="165" fontId="46" fillId="3" borderId="0" xfId="0" applyNumberFormat="1" applyFont="1" applyFill="1" applyAlignment="1">
      <alignment horizontal="right" vertical="center"/>
    </xf>
    <xf numFmtId="165" fontId="25" fillId="6" borderId="0" xfId="0" applyNumberFormat="1" applyFont="1" applyFill="1" applyBorder="1" applyAlignment="1">
      <alignment horizontal="center" vertical="center"/>
    </xf>
    <xf numFmtId="0" fontId="51" fillId="0" borderId="0" xfId="46" applyFont="1" applyFill="1" applyBorder="1" applyAlignment="1">
      <alignment horizontal="center" vertical="center"/>
    </xf>
    <xf numFmtId="165" fontId="51" fillId="10" borderId="17" xfId="46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165" fontId="37" fillId="0" borderId="17" xfId="0" applyNumberFormat="1" applyFont="1" applyFill="1" applyBorder="1" applyAlignment="1">
      <alignment horizontal="center" vertical="center"/>
    </xf>
    <xf numFmtId="4" fontId="8" fillId="6" borderId="0" xfId="0" applyNumberFormat="1" applyFont="1" applyFill="1" applyAlignment="1">
      <alignment horizontal="center" vertical="center" wrapText="1"/>
    </xf>
    <xf numFmtId="4" fontId="31" fillId="6" borderId="0" xfId="0" applyNumberFormat="1" applyFont="1" applyFill="1" applyAlignment="1">
      <alignment horizontal="center" vertical="center" wrapText="1"/>
    </xf>
    <xf numFmtId="165" fontId="25" fillId="6" borderId="3" xfId="0" applyNumberFormat="1" applyFont="1" applyFill="1" applyBorder="1" applyAlignment="1">
      <alignment horizontal="center" vertical="center"/>
    </xf>
    <xf numFmtId="165" fontId="25" fillId="0" borderId="20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165" fontId="2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165" fontId="25" fillId="0" borderId="17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8" fillId="6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165" fontId="25" fillId="0" borderId="0" xfId="0" applyNumberFormat="1" applyFont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165" fontId="37" fillId="3" borderId="17" xfId="0" applyNumberFormat="1" applyFont="1" applyFill="1" applyBorder="1" applyAlignment="1">
      <alignment horizontal="center" vertical="center"/>
    </xf>
    <xf numFmtId="165" fontId="52" fillId="10" borderId="17" xfId="46" applyNumberFormat="1" applyFont="1" applyFill="1" applyBorder="1" applyAlignment="1">
      <alignment horizontal="center" vertical="center"/>
    </xf>
    <xf numFmtId="165" fontId="33" fillId="10" borderId="17" xfId="46" applyNumberFormat="1" applyFont="1" applyFill="1" applyBorder="1" applyAlignment="1">
      <alignment horizontal="center" vertical="center"/>
    </xf>
    <xf numFmtId="164" fontId="43" fillId="0" borderId="0" xfId="2" applyFont="1" applyFill="1" applyBorder="1" applyAlignment="1">
      <alignment horizontal="center" vertical="center"/>
    </xf>
    <xf numFmtId="165" fontId="23" fillId="0" borderId="17" xfId="0" applyNumberFormat="1" applyFont="1" applyFill="1" applyBorder="1" applyAlignment="1">
      <alignment horizontal="center" vertical="center"/>
    </xf>
    <xf numFmtId="165" fontId="33" fillId="0" borderId="17" xfId="0" applyNumberFormat="1" applyFont="1" applyFill="1" applyBorder="1" applyAlignment="1">
      <alignment horizontal="center" vertical="center"/>
    </xf>
    <xf numFmtId="165" fontId="48" fillId="0" borderId="2" xfId="0" applyNumberFormat="1" applyFont="1" applyFill="1" applyBorder="1" applyAlignment="1">
      <alignment horizontal="center" vertical="center"/>
    </xf>
    <xf numFmtId="165" fontId="25" fillId="0" borderId="21" xfId="0" applyNumberFormat="1" applyFont="1" applyBorder="1" applyAlignment="1">
      <alignment horizontal="center" vertical="center"/>
    </xf>
    <xf numFmtId="165" fontId="31" fillId="0" borderId="17" xfId="0" applyNumberFormat="1" applyFont="1" applyFill="1" applyBorder="1" applyAlignment="1">
      <alignment horizontal="center" vertical="center"/>
    </xf>
    <xf numFmtId="165" fontId="25" fillId="6" borderId="21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4" fontId="33" fillId="11" borderId="0" xfId="2" applyFont="1" applyFill="1" applyAlignment="1">
      <alignment horizontal="center" vertical="center"/>
    </xf>
    <xf numFmtId="165" fontId="23" fillId="3" borderId="17" xfId="0" applyNumberFormat="1" applyFont="1" applyFill="1" applyBorder="1" applyAlignment="1">
      <alignment horizontal="center" vertical="center"/>
    </xf>
    <xf numFmtId="165" fontId="33" fillId="7" borderId="17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165" fontId="25" fillId="0" borderId="22" xfId="0" applyNumberFormat="1" applyFont="1" applyBorder="1" applyAlignment="1">
      <alignment horizontal="center" vertical="center"/>
    </xf>
    <xf numFmtId="165" fontId="25" fillId="0" borderId="22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 vertical="center"/>
    </xf>
    <xf numFmtId="165" fontId="25" fillId="0" borderId="2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wrapText="1"/>
    </xf>
    <xf numFmtId="165" fontId="37" fillId="3" borderId="0" xfId="0" applyNumberFormat="1" applyFont="1" applyFill="1" applyBorder="1" applyAlignment="1">
      <alignment horizontal="center" vertical="center"/>
    </xf>
    <xf numFmtId="165" fontId="25" fillId="2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165" fontId="54" fillId="2" borderId="14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165" fontId="54" fillId="0" borderId="16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31" fillId="6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7" fillId="3" borderId="0" xfId="0" applyFont="1" applyFill="1"/>
    <xf numFmtId="0" fontId="17" fillId="6" borderId="0" xfId="0" applyFont="1" applyFill="1" applyBorder="1" applyAlignment="1">
      <alignment vertical="center" wrapText="1"/>
    </xf>
    <xf numFmtId="165" fontId="23" fillId="3" borderId="0" xfId="0" applyNumberFormat="1" applyFont="1" applyFill="1" applyBorder="1" applyAlignment="1">
      <alignment horizontal="center" vertical="center"/>
    </xf>
    <xf numFmtId="165" fontId="46" fillId="3" borderId="0" xfId="0" applyNumberFormat="1" applyFont="1" applyFill="1" applyBorder="1" applyAlignment="1">
      <alignment horizontal="center" vertical="center"/>
    </xf>
    <xf numFmtId="165" fontId="55" fillId="0" borderId="0" xfId="0" applyNumberFormat="1" applyFont="1" applyFill="1" applyBorder="1" applyAlignment="1">
      <alignment horizontal="center" vertical="center"/>
    </xf>
    <xf numFmtId="165" fontId="56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/>
    </xf>
    <xf numFmtId="165" fontId="55" fillId="0" borderId="17" xfId="0" applyNumberFormat="1" applyFont="1" applyFill="1" applyBorder="1" applyAlignment="1">
      <alignment horizontal="center" vertical="center"/>
    </xf>
    <xf numFmtId="165" fontId="56" fillId="0" borderId="17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165" fontId="37" fillId="6" borderId="0" xfId="0" applyNumberFormat="1" applyFont="1" applyFill="1" applyBorder="1" applyAlignment="1">
      <alignment horizontal="center" vertical="center"/>
    </xf>
    <xf numFmtId="165" fontId="23" fillId="6" borderId="0" xfId="0" applyNumberFormat="1" applyFont="1" applyFill="1" applyBorder="1" applyAlignment="1">
      <alignment horizontal="center" vertical="center"/>
    </xf>
    <xf numFmtId="165" fontId="46" fillId="6" borderId="0" xfId="0" applyNumberFormat="1" applyFont="1" applyFill="1" applyBorder="1" applyAlignment="1">
      <alignment horizontal="center" vertical="center"/>
    </xf>
    <xf numFmtId="165" fontId="25" fillId="0" borderId="0" xfId="5" applyNumberFormat="1" applyFont="1" applyFill="1" applyBorder="1" applyAlignment="1">
      <alignment horizontal="center" vertical="center"/>
    </xf>
    <xf numFmtId="165" fontId="31" fillId="0" borderId="0" xfId="5" applyNumberFormat="1" applyFont="1" applyFill="1" applyBorder="1" applyAlignment="1">
      <alignment horizontal="center" vertical="center"/>
    </xf>
    <xf numFmtId="165" fontId="9" fillId="0" borderId="0" xfId="5" applyNumberFormat="1" applyFont="1" applyFill="1" applyBorder="1" applyAlignment="1">
      <alignment horizontal="center" vertical="center"/>
    </xf>
    <xf numFmtId="165" fontId="48" fillId="0" borderId="0" xfId="0" applyNumberFormat="1" applyFont="1" applyFill="1" applyAlignment="1">
      <alignment vertical="center"/>
    </xf>
    <xf numFmtId="165" fontId="25" fillId="0" borderId="0" xfId="5" applyNumberFormat="1" applyFont="1" applyFill="1" applyAlignment="1">
      <alignment horizontal="center" vertical="center"/>
    </xf>
    <xf numFmtId="165" fontId="31" fillId="0" borderId="0" xfId="5" applyNumberFormat="1" applyFont="1" applyFill="1" applyAlignment="1">
      <alignment horizontal="center" vertical="center"/>
    </xf>
    <xf numFmtId="165" fontId="9" fillId="0" borderId="0" xfId="5" applyNumberFormat="1" applyFont="1" applyFill="1" applyAlignment="1">
      <alignment horizontal="center" vertical="center"/>
    </xf>
    <xf numFmtId="0" fontId="48" fillId="6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3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165" fontId="31" fillId="3" borderId="2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165" fontId="8" fillId="0" borderId="17" xfId="0" applyNumberFormat="1" applyFont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/>
    </xf>
    <xf numFmtId="165" fontId="25" fillId="0" borderId="26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57" fillId="9" borderId="0" xfId="0" applyFont="1" applyFill="1" applyBorder="1" applyAlignment="1">
      <alignment vertical="center"/>
    </xf>
    <xf numFmtId="0" fontId="58" fillId="9" borderId="17" xfId="8" applyFont="1" applyFill="1" applyBorder="1" applyAlignment="1">
      <alignment horizontal="center" vertical="center"/>
    </xf>
    <xf numFmtId="165" fontId="58" fillId="9" borderId="17" xfId="8" applyNumberFormat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vertical="center"/>
    </xf>
    <xf numFmtId="164" fontId="50" fillId="0" borderId="0" xfId="2" applyFont="1" applyFill="1" applyBorder="1" applyAlignment="1">
      <alignment horizontal="center" vertical="center"/>
    </xf>
    <xf numFmtId="0" fontId="31" fillId="6" borderId="0" xfId="0" applyFont="1" applyFill="1"/>
    <xf numFmtId="0" fontId="9" fillId="6" borderId="0" xfId="0" applyFont="1" applyFill="1"/>
    <xf numFmtId="0" fontId="48" fillId="6" borderId="0" xfId="0" applyFont="1" applyFill="1"/>
    <xf numFmtId="165" fontId="25" fillId="0" borderId="21" xfId="0" applyNumberFormat="1" applyFont="1" applyFill="1" applyBorder="1" applyAlignment="1">
      <alignment horizontal="center" vertical="center"/>
    </xf>
    <xf numFmtId="165" fontId="9" fillId="3" borderId="24" xfId="0" applyNumberFormat="1" applyFont="1" applyFill="1" applyBorder="1" applyAlignment="1">
      <alignment horizontal="center" vertical="center"/>
    </xf>
    <xf numFmtId="165" fontId="48" fillId="3" borderId="24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center"/>
    </xf>
    <xf numFmtId="165" fontId="9" fillId="6" borderId="0" xfId="0" applyNumberFormat="1" applyFont="1" applyFill="1" applyAlignment="1">
      <alignment horizontal="center" vertical="center" wrapText="1"/>
    </xf>
    <xf numFmtId="165" fontId="48" fillId="6" borderId="0" xfId="0" applyNumberFormat="1" applyFont="1" applyFill="1" applyAlignment="1">
      <alignment horizontal="center" vertical="center" wrapText="1"/>
    </xf>
    <xf numFmtId="165" fontId="25" fillId="0" borderId="27" xfId="0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165" fontId="31" fillId="0" borderId="28" xfId="0" applyNumberFormat="1" applyFont="1" applyFill="1" applyBorder="1" applyAlignment="1">
      <alignment horizontal="center" vertical="center"/>
    </xf>
    <xf numFmtId="165" fontId="60" fillId="9" borderId="17" xfId="8" applyNumberFormat="1" applyFont="1" applyFill="1" applyBorder="1" applyAlignment="1">
      <alignment horizontal="center" vertical="center"/>
    </xf>
    <xf numFmtId="165" fontId="61" fillId="9" borderId="17" xfId="8" applyNumberFormat="1" applyFont="1" applyFill="1" applyBorder="1" applyAlignment="1">
      <alignment horizontal="center" vertical="center"/>
    </xf>
    <xf numFmtId="165" fontId="25" fillId="0" borderId="23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65" fontId="37" fillId="3" borderId="24" xfId="0" applyNumberFormat="1" applyFont="1" applyFill="1" applyBorder="1" applyAlignment="1">
      <alignment horizontal="center" vertical="center"/>
    </xf>
    <xf numFmtId="165" fontId="33" fillId="9" borderId="17" xfId="0" applyNumberFormat="1" applyFont="1" applyFill="1" applyBorder="1" applyAlignment="1">
      <alignment horizontal="center" vertical="center"/>
    </xf>
    <xf numFmtId="165" fontId="48" fillId="0" borderId="21" xfId="0" applyNumberFormat="1" applyFont="1" applyFill="1" applyBorder="1" applyAlignment="1">
      <alignment horizontal="center" vertical="center"/>
    </xf>
    <xf numFmtId="165" fontId="46" fillId="3" borderId="17" xfId="0" applyNumberFormat="1" applyFont="1" applyFill="1" applyBorder="1" applyAlignment="1">
      <alignment horizontal="center" vertical="center"/>
    </xf>
    <xf numFmtId="165" fontId="23" fillId="3" borderId="24" xfId="0" applyNumberFormat="1" applyFont="1" applyFill="1" applyBorder="1" applyAlignment="1">
      <alignment horizontal="center" vertical="center"/>
    </xf>
    <xf numFmtId="165" fontId="46" fillId="3" borderId="24" xfId="0" applyNumberFormat="1" applyFont="1" applyFill="1" applyBorder="1" applyAlignment="1">
      <alignment horizontal="center" vertical="center"/>
    </xf>
    <xf numFmtId="164" fontId="33" fillId="0" borderId="0" xfId="2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wrapText="1"/>
    </xf>
    <xf numFmtId="0" fontId="25" fillId="2" borderId="2" xfId="0" applyFont="1" applyFill="1" applyBorder="1" applyAlignment="1">
      <alignment horizontal="center" vertical="center" wrapText="1"/>
    </xf>
    <xf numFmtId="165" fontId="63" fillId="0" borderId="0" xfId="11" applyNumberFormat="1" applyFill="1" applyBorder="1" applyAlignment="1">
      <alignment horizontal="center" vertical="center"/>
    </xf>
    <xf numFmtId="165" fontId="48" fillId="6" borderId="4" xfId="0" applyNumberFormat="1" applyFont="1" applyFill="1" applyBorder="1" applyAlignment="1">
      <alignment horizontal="center" vertical="center"/>
    </xf>
    <xf numFmtId="165" fontId="48" fillId="0" borderId="4" xfId="0" applyNumberFormat="1" applyFont="1" applyFill="1" applyBorder="1" applyAlignment="1">
      <alignment horizontal="center" vertical="center"/>
    </xf>
    <xf numFmtId="165" fontId="25" fillId="0" borderId="18" xfId="0" applyNumberFormat="1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31" fillId="0" borderId="0" xfId="0" applyNumberFormat="1" applyFont="1" applyFill="1" applyAlignment="1">
      <alignment horizontal="center" vertical="center" wrapText="1"/>
    </xf>
    <xf numFmtId="165" fontId="37" fillId="3" borderId="29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 wrapText="1"/>
    </xf>
    <xf numFmtId="4" fontId="37" fillId="3" borderId="0" xfId="0" applyNumberFormat="1" applyFont="1" applyFill="1" applyAlignment="1">
      <alignment horizontal="center" vertical="center"/>
    </xf>
    <xf numFmtId="165" fontId="25" fillId="0" borderId="0" xfId="2" applyNumberFormat="1" applyFont="1" applyFill="1" applyBorder="1" applyAlignment="1">
      <alignment horizontal="center" vertical="center"/>
    </xf>
    <xf numFmtId="165" fontId="31" fillId="0" borderId="0" xfId="2" applyNumberFormat="1" applyFont="1" applyFill="1" applyBorder="1" applyAlignment="1">
      <alignment horizontal="center" vertical="center"/>
    </xf>
    <xf numFmtId="165" fontId="9" fillId="0" borderId="0" xfId="2" applyNumberFormat="1" applyFont="1" applyFill="1" applyBorder="1" applyAlignment="1">
      <alignment horizontal="center" vertical="center"/>
    </xf>
    <xf numFmtId="165" fontId="23" fillId="3" borderId="29" xfId="0" applyNumberFormat="1" applyFont="1" applyFill="1" applyBorder="1" applyAlignment="1">
      <alignment horizontal="center" vertical="center"/>
    </xf>
    <xf numFmtId="165" fontId="46" fillId="3" borderId="29" xfId="0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48" fillId="0" borderId="2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165" fontId="37" fillId="3" borderId="24" xfId="5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165" fontId="54" fillId="0" borderId="0" xfId="0" applyNumberFormat="1" applyFont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165" fontId="37" fillId="0" borderId="5" xfId="0" applyNumberFormat="1" applyFont="1" applyFill="1" applyBorder="1" applyAlignment="1">
      <alignment horizontal="center" vertical="center"/>
    </xf>
    <xf numFmtId="0" fontId="24" fillId="0" borderId="0" xfId="0" applyFont="1"/>
    <xf numFmtId="164" fontId="48" fillId="0" borderId="0" xfId="2" applyFont="1" applyFill="1" applyBorder="1" applyAlignment="1">
      <alignment vertical="center"/>
    </xf>
    <xf numFmtId="165" fontId="23" fillId="3" borderId="24" xfId="5" applyNumberFormat="1" applyFont="1" applyFill="1" applyBorder="1" applyAlignment="1">
      <alignment horizontal="center" vertical="center"/>
    </xf>
    <xf numFmtId="165" fontId="46" fillId="3" borderId="24" xfId="5" applyNumberFormat="1" applyFont="1" applyFill="1" applyBorder="1" applyAlignment="1">
      <alignment horizontal="center" vertical="center"/>
    </xf>
    <xf numFmtId="165" fontId="23" fillId="0" borderId="0" xfId="0" applyNumberFormat="1" applyFont="1" applyFill="1" applyAlignment="1">
      <alignment horizontal="center" vertical="center"/>
    </xf>
    <xf numFmtId="165" fontId="23" fillId="0" borderId="5" xfId="0" applyNumberFormat="1" applyFont="1" applyFill="1" applyBorder="1" applyAlignment="1">
      <alignment horizontal="center" vertical="center"/>
    </xf>
    <xf numFmtId="165" fontId="33" fillId="0" borderId="5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65" fillId="5" borderId="0" xfId="4" applyFont="1" applyBorder="1" applyAlignment="1">
      <alignment horizontal="left" vertical="center"/>
    </xf>
    <xf numFmtId="165" fontId="37" fillId="0" borderId="10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Border="1"/>
    <xf numFmtId="0" fontId="22" fillId="0" borderId="0" xfId="0" applyFont="1" applyFill="1" applyBorder="1" applyAlignment="1">
      <alignment horizontal="left" vertical="center"/>
    </xf>
    <xf numFmtId="0" fontId="32" fillId="5" borderId="0" xfId="4" applyFont="1" applyBorder="1" applyAlignment="1">
      <alignment horizontal="left" vertical="center"/>
    </xf>
    <xf numFmtId="165" fontId="37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165" fontId="37" fillId="0" borderId="12" xfId="0" applyNumberFormat="1" applyFont="1" applyFill="1" applyBorder="1" applyAlignment="1">
      <alignment horizontal="center" vertical="center"/>
    </xf>
    <xf numFmtId="0" fontId="58" fillId="12" borderId="30" xfId="7" applyFont="1" applyBorder="1" applyAlignment="1">
      <alignment vertical="center" wrapText="1"/>
    </xf>
    <xf numFmtId="0" fontId="22" fillId="0" borderId="9" xfId="0" applyFont="1" applyFill="1" applyBorder="1" applyAlignment="1">
      <alignment horizontal="left" vertical="center" wrapText="1"/>
    </xf>
    <xf numFmtId="165" fontId="37" fillId="0" borderId="7" xfId="0" applyNumberFormat="1" applyFont="1" applyFill="1" applyBorder="1" applyAlignment="1">
      <alignment horizontal="center" vertical="center"/>
    </xf>
    <xf numFmtId="165" fontId="37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0" fontId="31" fillId="0" borderId="0" xfId="0" applyFont="1" applyFill="1" applyBorder="1"/>
    <xf numFmtId="44" fontId="37" fillId="0" borderId="0" xfId="0" applyNumberFormat="1" applyFont="1" applyFill="1" applyBorder="1" applyAlignment="1"/>
    <xf numFmtId="0" fontId="19" fillId="0" borderId="0" xfId="0" applyFont="1" applyFill="1" applyBorder="1" applyAlignment="1">
      <alignment wrapText="1"/>
    </xf>
    <xf numFmtId="4" fontId="37" fillId="0" borderId="0" xfId="0" applyNumberFormat="1" applyFont="1" applyFill="1" applyBorder="1" applyAlignment="1"/>
    <xf numFmtId="0" fontId="37" fillId="0" borderId="0" xfId="0" applyFont="1" applyFill="1" applyBorder="1" applyAlignment="1"/>
    <xf numFmtId="164" fontId="33" fillId="0" borderId="0" xfId="2" applyFont="1" applyFill="1" applyAlignment="1">
      <alignment horizontal="center" vertical="center"/>
    </xf>
    <xf numFmtId="0" fontId="29" fillId="4" borderId="10" xfId="9" applyNumberFormat="1" applyFont="1" applyBorder="1" applyAlignment="1">
      <alignment horizontal="center" vertical="center"/>
    </xf>
    <xf numFmtId="0" fontId="30" fillId="4" borderId="13" xfId="9" applyFont="1" applyBorder="1" applyAlignment="1">
      <alignment horizontal="left" vertical="center"/>
    </xf>
    <xf numFmtId="164" fontId="66" fillId="0" borderId="11" xfId="9" applyNumberFormat="1" applyFont="1" applyFill="1" applyBorder="1" applyAlignment="1">
      <alignment horizontal="left" vertical="center"/>
    </xf>
    <xf numFmtId="44" fontId="30" fillId="4" borderId="13" xfId="9" applyNumberFormat="1" applyFont="1" applyBorder="1" applyAlignment="1">
      <alignment horizontal="left" vertical="center"/>
    </xf>
    <xf numFmtId="0" fontId="29" fillId="4" borderId="12" xfId="9" applyNumberFormat="1" applyFont="1" applyBorder="1" applyAlignment="1">
      <alignment horizontal="center" vertical="center"/>
    </xf>
    <xf numFmtId="44" fontId="30" fillId="4" borderId="6" xfId="9" applyNumberFormat="1" applyFont="1" applyBorder="1" applyAlignment="1">
      <alignment horizontal="left" vertical="center"/>
    </xf>
    <xf numFmtId="164" fontId="66" fillId="0" borderId="8" xfId="9" applyNumberFormat="1" applyFont="1" applyFill="1" applyBorder="1" applyAlignment="1">
      <alignment horizontal="left" vertical="center"/>
    </xf>
    <xf numFmtId="44" fontId="23" fillId="0" borderId="0" xfId="0" applyNumberFormat="1" applyFont="1" applyFill="1" applyBorder="1" applyAlignment="1"/>
    <xf numFmtId="164" fontId="33" fillId="0" borderId="0" xfId="2" applyFont="1" applyFill="1" applyBorder="1" applyAlignment="1"/>
    <xf numFmtId="165" fontId="37" fillId="0" borderId="0" xfId="0" applyNumberFormat="1" applyFont="1" applyFill="1" applyBorder="1" applyAlignment="1"/>
    <xf numFmtId="0" fontId="23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44" fontId="29" fillId="4" borderId="9" xfId="9" applyNumberFormat="1" applyFont="1" applyBorder="1" applyAlignment="1">
      <alignment horizontal="center" vertical="center"/>
    </xf>
    <xf numFmtId="44" fontId="30" fillId="4" borderId="13" xfId="9" applyNumberFormat="1" applyFont="1" applyBorder="1" applyAlignment="1">
      <alignment horizontal="center" vertical="center"/>
    </xf>
    <xf numFmtId="44" fontId="66" fillId="4" borderId="11" xfId="9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</cellXfs>
  <cellStyles count="49">
    <cellStyle name="20% - Accent1" xfId="10"/>
    <cellStyle name="20% - Accent2" xfId="12"/>
    <cellStyle name="20% - Accent3" xfId="13"/>
    <cellStyle name="20% - Accent4" xfId="14"/>
    <cellStyle name="20% - Accent5" xfId="16"/>
    <cellStyle name="20% - Accent6" xfId="4"/>
    <cellStyle name="20% - Énfasis3" xfId="11" builtinId="38"/>
    <cellStyle name="20% - Énfasis6" xfId="9" builtinId="50"/>
    <cellStyle name="40% - Accent1" xfId="17"/>
    <cellStyle name="40% - Accent2" xfId="18"/>
    <cellStyle name="40% - Accent3" xfId="6"/>
    <cellStyle name="40% - Accent4" xfId="19"/>
    <cellStyle name="40% - Accent5" xfId="20"/>
    <cellStyle name="40% - Accent6" xfId="21"/>
    <cellStyle name="60% - Accent1" xfId="15"/>
    <cellStyle name="60% - Accent2" xfId="3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8" builtinId="22"/>
    <cellStyle name="Check Cell" xfId="34"/>
    <cellStyle name="Entrada" xfId="7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5" builtinId="3"/>
    <cellStyle name="Moneda" xfId="2" builtinId="4"/>
    <cellStyle name="Moneda [0]" xfId="1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2DA%20QUINCENA%20MAYO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RZO%2023\2DA%20%20QUINCENA%20%20MAR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YO%2023\1ER%20QUINCENA%20MAYO%20%202023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58">
          <cell r="G58">
            <v>3.9999999999054099E-3</v>
          </cell>
          <cell r="H5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11">
          <cell r="G111">
            <v>560</v>
          </cell>
        </row>
        <row r="160">
          <cell r="G160">
            <v>4492.6875</v>
          </cell>
        </row>
      </sheetData>
      <sheetData sheetId="1"/>
      <sheetData sheetId="2">
        <row r="13">
          <cell r="J13">
            <v>4410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65">
          <cell r="G165">
            <v>4492.6875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65">
          <cell r="G265">
            <v>791.4</v>
          </cell>
        </row>
      </sheetData>
      <sheetData sheetId="1"/>
      <sheetData sheetId="2"/>
      <sheetData sheetId="3">
        <row r="24">
          <cell r="J24">
            <v>1862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61"/>
  <sheetViews>
    <sheetView tabSelected="1" view="pageBreakPreview" zoomScale="90" zoomScaleNormal="80" zoomScalePageLayoutView="80" workbookViewId="0">
      <selection activeCell="G8" sqref="G8"/>
    </sheetView>
  </sheetViews>
  <sheetFormatPr baseColWidth="10" defaultColWidth="11.28515625" defaultRowHeight="12.75" customHeight="1"/>
  <cols>
    <col min="1" max="1" width="21.7109375" style="27" customWidth="1"/>
    <col min="2" max="2" width="13.7109375" style="28" customWidth="1"/>
    <col min="3" max="3" width="15.140625" style="28" customWidth="1"/>
    <col min="4" max="4" width="10.85546875" style="28" customWidth="1"/>
    <col min="5" max="5" width="11.42578125" style="28" customWidth="1"/>
    <col min="6" max="6" width="10.85546875" style="29" customWidth="1"/>
    <col min="7" max="7" width="15.7109375" style="30" customWidth="1"/>
    <col min="8" max="8" width="16.85546875" style="28" customWidth="1"/>
    <col min="9" max="16384" width="11.28515625" style="1"/>
  </cols>
  <sheetData>
    <row r="1" spans="1:8" ht="15" customHeight="1">
      <c r="A1" s="301" t="s">
        <v>0</v>
      </c>
      <c r="B1" s="301"/>
      <c r="C1" s="301"/>
      <c r="D1" s="301"/>
      <c r="E1" s="301"/>
      <c r="F1" s="302"/>
      <c r="G1" s="303"/>
      <c r="H1" s="301"/>
    </row>
    <row r="2" spans="1:8" ht="15" customHeight="1">
      <c r="A2" s="301" t="s">
        <v>1</v>
      </c>
      <c r="B2" s="301"/>
      <c r="C2" s="301"/>
      <c r="D2" s="301"/>
      <c r="E2" s="301"/>
      <c r="F2" s="302"/>
      <c r="G2" s="303"/>
      <c r="H2" s="301"/>
    </row>
    <row r="3" spans="1:8" ht="15" customHeight="1">
      <c r="A3" s="304" t="s">
        <v>2</v>
      </c>
      <c r="B3" s="304"/>
      <c r="C3" s="304"/>
      <c r="D3" s="304"/>
      <c r="E3" s="304"/>
      <c r="F3" s="305"/>
      <c r="G3" s="306"/>
      <c r="H3" s="304"/>
    </row>
    <row r="4" spans="1:8" ht="15" customHeight="1">
      <c r="A4" s="337"/>
      <c r="B4" s="337"/>
      <c r="C4" s="337"/>
      <c r="D4" s="337"/>
      <c r="E4" s="337"/>
      <c r="F4" s="326"/>
      <c r="G4" s="327"/>
      <c r="H4" s="337"/>
    </row>
    <row r="5" spans="1:8" ht="28.5" customHeight="1">
      <c r="A5" s="31" t="s">
        <v>3</v>
      </c>
      <c r="B5" s="32" t="s">
        <v>4</v>
      </c>
      <c r="C5" s="32" t="s">
        <v>5</v>
      </c>
      <c r="D5" s="32" t="s">
        <v>6</v>
      </c>
      <c r="E5" s="32" t="s">
        <v>7</v>
      </c>
      <c r="F5" s="74" t="s">
        <v>8</v>
      </c>
      <c r="G5" s="75" t="s">
        <v>9</v>
      </c>
      <c r="H5" s="76" t="s">
        <v>10</v>
      </c>
    </row>
    <row r="6" spans="1:8" ht="45" customHeight="1">
      <c r="A6" s="33" t="s">
        <v>11</v>
      </c>
      <c r="B6" s="34" t="s">
        <v>12</v>
      </c>
      <c r="C6" s="20">
        <f>'[1]MADRE BANCO'!$G$7</f>
        <v>11839.1805</v>
      </c>
      <c r="D6" s="20">
        <f>'[1]MADRE BANCO'!$H$7</f>
        <v>476.94150000000002</v>
      </c>
      <c r="E6" s="18"/>
      <c r="F6" s="19" t="s">
        <v>13</v>
      </c>
      <c r="G6" s="77"/>
      <c r="H6" s="18">
        <f>C6-D6+G6</f>
        <v>11362.239</v>
      </c>
    </row>
    <row r="7" spans="1:8" ht="45" customHeight="1">
      <c r="A7" s="33" t="s">
        <v>14</v>
      </c>
      <c r="B7" s="34" t="s">
        <v>12</v>
      </c>
      <c r="C7" s="20">
        <f>'[1]MADRE BANCO'!$G$7</f>
        <v>11839.1805</v>
      </c>
      <c r="D7" s="20">
        <f>'[1]MADRE BANCO'!$H$7</f>
        <v>476.94150000000002</v>
      </c>
      <c r="E7" s="18"/>
      <c r="F7" s="19"/>
      <c r="G7" s="77"/>
      <c r="H7" s="18">
        <f t="shared" ref="H7:H14" si="0">C7-D7+G7</f>
        <v>11362.239</v>
      </c>
    </row>
    <row r="8" spans="1:8" ht="54.95" customHeight="1">
      <c r="A8" s="33" t="s">
        <v>15</v>
      </c>
      <c r="B8" s="34" t="s">
        <v>12</v>
      </c>
      <c r="C8" s="20">
        <f>'[1]MADRE BANCO'!$G$7</f>
        <v>11839.1805</v>
      </c>
      <c r="D8" s="20">
        <f>'[1]MADRE BANCO'!$H$7</f>
        <v>476.94150000000002</v>
      </c>
      <c r="E8" s="18"/>
      <c r="F8" s="19"/>
      <c r="G8" s="77"/>
      <c r="H8" s="18">
        <f t="shared" si="0"/>
        <v>11362.239</v>
      </c>
    </row>
    <row r="9" spans="1:8" ht="45" customHeight="1">
      <c r="A9" s="33" t="s">
        <v>16</v>
      </c>
      <c r="B9" s="35" t="s">
        <v>17</v>
      </c>
      <c r="C9" s="20">
        <f>'[1]MADRE BANCO'!$G$7</f>
        <v>11839.1805</v>
      </c>
      <c r="D9" s="20">
        <f>'[1]MADRE BANCO'!$H$7</f>
        <v>476.94150000000002</v>
      </c>
      <c r="E9" s="18"/>
      <c r="F9" s="19"/>
      <c r="G9" s="77"/>
      <c r="H9" s="18">
        <f t="shared" si="0"/>
        <v>11362.239</v>
      </c>
    </row>
    <row r="10" spans="1:8" ht="45" customHeight="1">
      <c r="A10" s="33" t="s">
        <v>18</v>
      </c>
      <c r="B10" s="34" t="s">
        <v>12</v>
      </c>
      <c r="C10" s="20">
        <f>'[1]MADRE BANCO'!$G$7</f>
        <v>11839.1805</v>
      </c>
      <c r="D10" s="20">
        <f>'[1]MADRE BANCO'!$H$7</f>
        <v>476.94150000000002</v>
      </c>
      <c r="E10" s="18"/>
      <c r="F10" s="19"/>
      <c r="G10" s="77"/>
      <c r="H10" s="18">
        <f t="shared" si="0"/>
        <v>11362.239</v>
      </c>
    </row>
    <row r="11" spans="1:8" ht="56.1" customHeight="1">
      <c r="A11" s="33" t="s">
        <v>19</v>
      </c>
      <c r="B11" s="34" t="s">
        <v>12</v>
      </c>
      <c r="C11" s="20">
        <f>'[1]MADRE BANCO'!$G$7</f>
        <v>11839.1805</v>
      </c>
      <c r="D11" s="20">
        <f>'[1]MADRE BANCO'!$H$7</f>
        <v>476.94150000000002</v>
      </c>
      <c r="E11" s="18"/>
      <c r="F11" s="19"/>
      <c r="G11" s="77"/>
      <c r="H11" s="18">
        <f t="shared" si="0"/>
        <v>11362.239</v>
      </c>
    </row>
    <row r="12" spans="1:8" ht="54.95" customHeight="1">
      <c r="A12" s="33" t="s">
        <v>20</v>
      </c>
      <c r="B12" s="34" t="s">
        <v>12</v>
      </c>
      <c r="C12" s="20">
        <f>'[1]MADRE BANCO'!$G$7</f>
        <v>11839.1805</v>
      </c>
      <c r="D12" s="20">
        <f>'[1]MADRE BANCO'!$H$7</f>
        <v>476.94150000000002</v>
      </c>
      <c r="E12" s="18"/>
      <c r="F12" s="19"/>
      <c r="G12" s="77"/>
      <c r="H12" s="18">
        <f t="shared" si="0"/>
        <v>11362.239</v>
      </c>
    </row>
    <row r="13" spans="1:8" ht="54.95" customHeight="1">
      <c r="A13" s="33" t="s">
        <v>21</v>
      </c>
      <c r="B13" s="34" t="s">
        <v>12</v>
      </c>
      <c r="C13" s="20">
        <f>'[1]MADRE BANCO'!$G$7</f>
        <v>11839.1805</v>
      </c>
      <c r="D13" s="20">
        <f>'[1]MADRE BANCO'!$H$7</f>
        <v>476.94150000000002</v>
      </c>
      <c r="E13" s="18"/>
      <c r="F13" s="19"/>
      <c r="G13" s="77"/>
      <c r="H13" s="18">
        <f t="shared" si="0"/>
        <v>11362.239</v>
      </c>
    </row>
    <row r="14" spans="1:8" ht="45" customHeight="1">
      <c r="A14" s="33" t="s">
        <v>22</v>
      </c>
      <c r="B14" s="34" t="s">
        <v>12</v>
      </c>
      <c r="C14" s="20">
        <f>'[1]MADRE BANCO'!$G$7</f>
        <v>11839.1805</v>
      </c>
      <c r="D14" s="20">
        <f>'[1]MADRE BANCO'!$H$7</f>
        <v>476.94150000000002</v>
      </c>
      <c r="E14" s="78"/>
      <c r="F14" s="79"/>
      <c r="G14" s="77"/>
      <c r="H14" s="18">
        <f t="shared" si="0"/>
        <v>11362.239</v>
      </c>
    </row>
    <row r="15" spans="1:8" ht="25.5" customHeight="1">
      <c r="A15" s="37"/>
      <c r="B15" s="38" t="s">
        <v>23</v>
      </c>
      <c r="C15" s="39">
        <f>SUM(C6:C14)</f>
        <v>106552.62450000001</v>
      </c>
      <c r="D15" s="39">
        <f t="shared" ref="D15:H15" si="1">SUM(D6:D14)</f>
        <v>4292.4735000000001</v>
      </c>
      <c r="E15" s="39">
        <f t="shared" si="1"/>
        <v>0</v>
      </c>
      <c r="F15" s="80">
        <f t="shared" si="1"/>
        <v>0</v>
      </c>
      <c r="G15" s="81">
        <f t="shared" si="1"/>
        <v>0</v>
      </c>
      <c r="H15" s="39">
        <f t="shared" si="1"/>
        <v>102260.151</v>
      </c>
    </row>
    <row r="16" spans="1:8" ht="15" customHeight="1">
      <c r="A16" s="313"/>
      <c r="B16" s="313"/>
      <c r="C16" s="313"/>
      <c r="D16" s="313"/>
      <c r="E16" s="313"/>
      <c r="F16" s="314"/>
      <c r="G16" s="315"/>
      <c r="H16" s="313"/>
    </row>
    <row r="17" spans="1:8" ht="15" customHeight="1">
      <c r="A17" s="313"/>
      <c r="B17" s="313"/>
      <c r="C17" s="313"/>
      <c r="D17" s="313"/>
      <c r="E17" s="313"/>
      <c r="F17" s="314"/>
      <c r="G17" s="315"/>
      <c r="H17" s="313"/>
    </row>
    <row r="18" spans="1:8" ht="15" customHeight="1">
      <c r="A18" s="328"/>
      <c r="B18" s="328"/>
      <c r="C18" s="328"/>
      <c r="D18" s="328"/>
      <c r="E18" s="328"/>
      <c r="F18" s="329"/>
      <c r="G18" s="330"/>
      <c r="H18" s="328"/>
    </row>
    <row r="19" spans="1:8" ht="15" customHeight="1">
      <c r="A19" s="338"/>
      <c r="B19" s="338"/>
      <c r="C19" s="338"/>
      <c r="D19" s="338"/>
      <c r="E19" s="338"/>
      <c r="F19" s="339"/>
      <c r="G19" s="340"/>
      <c r="H19" s="338"/>
    </row>
    <row r="20" spans="1:8" ht="27.75" customHeight="1">
      <c r="A20" s="40" t="str">
        <f>A5</f>
        <v>NOMBRE</v>
      </c>
      <c r="B20" s="41" t="str">
        <f>B5</f>
        <v>PUESTO</v>
      </c>
      <c r="C20" s="41" t="str">
        <f>C5</f>
        <v>SUELDO</v>
      </c>
      <c r="D20" s="41" t="str">
        <f>D5</f>
        <v>RETENCION</v>
      </c>
      <c r="E20" s="41" t="str">
        <f>E5</f>
        <v>S.E.</v>
      </c>
      <c r="F20" s="74" t="s">
        <v>8</v>
      </c>
      <c r="G20" s="82" t="str">
        <f>G5</f>
        <v>COMPENSACIONES</v>
      </c>
      <c r="H20" s="41" t="str">
        <f>H5</f>
        <v>SUELDO NETO</v>
      </c>
    </row>
    <row r="21" spans="1:8" ht="54.95" customHeight="1">
      <c r="A21" s="43" t="s">
        <v>24</v>
      </c>
      <c r="B21" s="42" t="s">
        <v>25</v>
      </c>
      <c r="C21" s="44">
        <f>'[1]MADRE BANCO'!$G$19</f>
        <v>30935.225999999999</v>
      </c>
      <c r="D21" s="44">
        <f>'[1]MADRE BANCO'!$H$19</f>
        <v>1498.9590000000001</v>
      </c>
      <c r="E21" s="44"/>
      <c r="F21" s="83"/>
      <c r="G21" s="84"/>
      <c r="H21" s="44">
        <f>C21-D21+E21+F21+G21</f>
        <v>29436.267</v>
      </c>
    </row>
    <row r="22" spans="1:8" ht="45" customHeight="1">
      <c r="A22" s="45" t="s">
        <v>26</v>
      </c>
      <c r="B22" s="34" t="s">
        <v>27</v>
      </c>
      <c r="C22" s="22">
        <f>4530*1.04*1.05</f>
        <v>4946.76</v>
      </c>
      <c r="D22" s="22"/>
      <c r="E22" s="18">
        <v>90</v>
      </c>
      <c r="F22" s="19"/>
      <c r="G22" s="85"/>
      <c r="H22" s="18">
        <f>C22-D22+E22+G22</f>
        <v>5036.76</v>
      </c>
    </row>
    <row r="23" spans="1:8" ht="54.95" customHeight="1">
      <c r="A23" s="33" t="s">
        <v>28</v>
      </c>
      <c r="B23" s="46" t="s">
        <v>29</v>
      </c>
      <c r="C23" s="47">
        <f>'[1]MADRE BANCO'!$G$20</f>
        <v>2620.8000000000002</v>
      </c>
      <c r="D23" s="47"/>
      <c r="E23" s="47"/>
      <c r="F23" s="86"/>
      <c r="G23" s="87"/>
      <c r="H23" s="47">
        <f>C23-D23+E23+G23</f>
        <v>2620.8000000000002</v>
      </c>
    </row>
    <row r="24" spans="1:8" ht="25.5" customHeight="1">
      <c r="A24" s="48"/>
      <c r="B24" s="38" t="s">
        <v>23</v>
      </c>
      <c r="C24" s="49">
        <f t="shared" ref="C24:H24" si="2">SUM(C21:C23)</f>
        <v>38502.786</v>
      </c>
      <c r="D24" s="49">
        <f t="shared" si="2"/>
        <v>1498.9590000000001</v>
      </c>
      <c r="E24" s="49">
        <f t="shared" si="2"/>
        <v>90</v>
      </c>
      <c r="F24" s="88">
        <f t="shared" si="2"/>
        <v>0</v>
      </c>
      <c r="G24" s="89">
        <f t="shared" si="2"/>
        <v>0</v>
      </c>
      <c r="H24" s="49">
        <f t="shared" si="2"/>
        <v>37093.827000000005</v>
      </c>
    </row>
    <row r="25" spans="1:8" ht="15" customHeight="1">
      <c r="A25" s="313"/>
      <c r="B25" s="313"/>
      <c r="C25" s="313"/>
      <c r="D25" s="313"/>
      <c r="E25" s="313"/>
      <c r="F25" s="314"/>
      <c r="G25" s="315"/>
      <c r="H25" s="313"/>
    </row>
    <row r="26" spans="1:8" ht="12.75" customHeight="1">
      <c r="A26" s="313"/>
      <c r="B26" s="313"/>
      <c r="C26" s="313"/>
      <c r="D26" s="313"/>
      <c r="E26" s="313"/>
      <c r="F26" s="314"/>
      <c r="G26" s="315"/>
      <c r="H26" s="313"/>
    </row>
    <row r="27" spans="1:8" ht="18.75" customHeight="1">
      <c r="A27" s="316"/>
      <c r="B27" s="316"/>
      <c r="C27" s="316"/>
      <c r="D27" s="316"/>
      <c r="E27" s="316"/>
      <c r="F27" s="317"/>
      <c r="G27" s="318"/>
      <c r="H27" s="316"/>
    </row>
    <row r="28" spans="1:8" ht="25.5" customHeight="1">
      <c r="A28" s="338"/>
      <c r="B28" s="338"/>
      <c r="C28" s="338"/>
      <c r="D28" s="338"/>
      <c r="E28" s="338"/>
      <c r="F28" s="339"/>
      <c r="G28" s="340"/>
      <c r="H28" s="338"/>
    </row>
    <row r="29" spans="1:8" ht="32.25" customHeight="1">
      <c r="A29" s="51" t="s">
        <v>3</v>
      </c>
      <c r="B29" s="52" t="s">
        <v>4</v>
      </c>
      <c r="C29" s="52" t="s">
        <v>5</v>
      </c>
      <c r="D29" s="52" t="s">
        <v>6</v>
      </c>
      <c r="E29" s="52" t="s">
        <v>7</v>
      </c>
      <c r="F29" s="74" t="s">
        <v>8</v>
      </c>
      <c r="G29" s="90" t="str">
        <f>G20</f>
        <v>COMPENSACIONES</v>
      </c>
      <c r="H29" s="52" t="s">
        <v>10</v>
      </c>
    </row>
    <row r="30" spans="1:8" ht="53.1" customHeight="1">
      <c r="A30" s="53" t="s">
        <v>30</v>
      </c>
      <c r="B30" s="54" t="s">
        <v>31</v>
      </c>
      <c r="C30" s="55">
        <f>'[1]MADRE BANCO'!$G$24</f>
        <v>20545.255499999999</v>
      </c>
      <c r="D30" s="55">
        <f>'[1]MADRE BANCO'!$H$24</f>
        <v>1078.2555</v>
      </c>
      <c r="E30" s="55"/>
      <c r="F30" s="91"/>
      <c r="G30" s="92"/>
      <c r="H30" s="55">
        <f>C30-D30+E30+G30</f>
        <v>19467</v>
      </c>
    </row>
    <row r="31" spans="1:8" ht="50.25" customHeight="1">
      <c r="A31" s="56" t="s">
        <v>32</v>
      </c>
      <c r="B31" s="57" t="s">
        <v>33</v>
      </c>
      <c r="C31" s="20">
        <f>'[1]MADRE BANCO'!$G$25</f>
        <v>6727.308</v>
      </c>
      <c r="D31" s="20">
        <f>'[1]MADRE BANCO'!$H$25</f>
        <v>217.30799999999999</v>
      </c>
      <c r="E31" s="20"/>
      <c r="F31" s="21"/>
      <c r="G31" s="85"/>
      <c r="H31" s="20">
        <f>C31-D31+E31+G31</f>
        <v>6510</v>
      </c>
    </row>
    <row r="32" spans="1:8" ht="25.5" customHeight="1">
      <c r="A32" s="58"/>
      <c r="B32" s="38" t="s">
        <v>23</v>
      </c>
      <c r="C32" s="59">
        <f t="shared" ref="C32:H32" si="3">SUM(C30:C31)</f>
        <v>27272.5635</v>
      </c>
      <c r="D32" s="59">
        <f t="shared" si="3"/>
        <v>1295.5635</v>
      </c>
      <c r="E32" s="59">
        <f t="shared" si="3"/>
        <v>0</v>
      </c>
      <c r="F32" s="93">
        <f t="shared" si="3"/>
        <v>0</v>
      </c>
      <c r="G32" s="94">
        <f t="shared" si="3"/>
        <v>0</v>
      </c>
      <c r="H32" s="59">
        <f t="shared" si="3"/>
        <v>25977</v>
      </c>
    </row>
    <row r="33" spans="1:8" ht="15" customHeight="1">
      <c r="A33" s="313"/>
      <c r="B33" s="313"/>
      <c r="C33" s="313"/>
      <c r="D33" s="313"/>
      <c r="E33" s="313"/>
      <c r="F33" s="314"/>
      <c r="G33" s="315"/>
      <c r="H33" s="313"/>
    </row>
    <row r="34" spans="1:8" ht="15" customHeight="1">
      <c r="A34" s="313"/>
      <c r="B34" s="313"/>
      <c r="C34" s="313"/>
      <c r="D34" s="313"/>
      <c r="E34" s="313"/>
      <c r="F34" s="314"/>
      <c r="G34" s="315"/>
      <c r="H34" s="313"/>
    </row>
    <row r="35" spans="1:8" ht="15" customHeight="1">
      <c r="A35" s="328"/>
      <c r="B35" s="328"/>
      <c r="C35" s="328"/>
      <c r="D35" s="328"/>
      <c r="E35" s="328"/>
      <c r="F35" s="329"/>
      <c r="G35" s="330"/>
      <c r="H35" s="328"/>
    </row>
    <row r="36" spans="1:8" ht="15" customHeight="1">
      <c r="A36" s="337"/>
      <c r="B36" s="337"/>
      <c r="C36" s="337"/>
      <c r="D36" s="337"/>
      <c r="E36" s="337"/>
      <c r="F36" s="326"/>
      <c r="G36" s="327"/>
      <c r="H36" s="337"/>
    </row>
    <row r="37" spans="1:8" ht="28.5" customHeight="1">
      <c r="A37" s="51" t="s">
        <v>3</v>
      </c>
      <c r="B37" s="52" t="s">
        <v>4</v>
      </c>
      <c r="C37" s="52" t="s">
        <v>5</v>
      </c>
      <c r="D37" s="52" t="s">
        <v>6</v>
      </c>
      <c r="E37" s="52" t="s">
        <v>7</v>
      </c>
      <c r="F37" s="74" t="s">
        <v>8</v>
      </c>
      <c r="G37" s="95" t="str">
        <f>G29</f>
        <v>COMPENSACIONES</v>
      </c>
      <c r="H37" s="52" t="s">
        <v>10</v>
      </c>
    </row>
    <row r="38" spans="1:8" ht="54" customHeight="1">
      <c r="A38" s="60" t="s">
        <v>34</v>
      </c>
      <c r="B38" s="61" t="s">
        <v>35</v>
      </c>
      <c r="C38" s="62">
        <f>'[1]MADRE BANCO'!$G$29</f>
        <v>20545.255499999999</v>
      </c>
      <c r="D38" s="62">
        <f>'[1]MADRE BANCO'!$H$29</f>
        <v>1078.2555</v>
      </c>
      <c r="E38" s="62"/>
      <c r="F38" s="83"/>
      <c r="G38" s="84"/>
      <c r="H38" s="55">
        <f>C38-D38+E38+G38</f>
        <v>19467</v>
      </c>
    </row>
    <row r="39" spans="1:8" s="6" customFormat="1" ht="51" customHeight="1">
      <c r="A39" s="33" t="s">
        <v>36</v>
      </c>
      <c r="B39" s="57" t="s">
        <v>37</v>
      </c>
      <c r="C39" s="20">
        <f>'[1]MADRE BANCO'!$G$30</f>
        <v>11275.41</v>
      </c>
      <c r="D39" s="20">
        <f>'[1]MADRE BANCO'!$H$30</f>
        <v>476.94150000000002</v>
      </c>
      <c r="E39" s="96"/>
      <c r="F39" s="97"/>
      <c r="G39" s="85"/>
      <c r="H39" s="20">
        <f>C39-D39+E39+G39</f>
        <v>10798.468499999999</v>
      </c>
    </row>
    <row r="40" spans="1:8" ht="44.25" customHeight="1">
      <c r="A40" s="63" t="s">
        <v>38</v>
      </c>
      <c r="B40" s="64" t="s">
        <v>27</v>
      </c>
      <c r="C40" s="20">
        <f>'[1]MADRE BANCO'!$G$31</f>
        <v>7069.6080000000002</v>
      </c>
      <c r="D40" s="20">
        <f>'[1]MADRE BANCO'!$H$31</f>
        <v>217.30799999999999</v>
      </c>
      <c r="E40" s="20"/>
      <c r="F40" s="21"/>
      <c r="G40" s="85"/>
      <c r="H40" s="20">
        <f>C40-D40+E40+G40</f>
        <v>6852.3</v>
      </c>
    </row>
    <row r="41" spans="1:8" ht="25.5" customHeight="1">
      <c r="A41" s="58"/>
      <c r="B41" s="38" t="s">
        <v>23</v>
      </c>
      <c r="C41" s="59">
        <f>SUM(C38:C40)</f>
        <v>38890.273499999996</v>
      </c>
      <c r="D41" s="59">
        <f>SUM(D38:D40)</f>
        <v>1772.5050000000001</v>
      </c>
      <c r="E41" s="59">
        <f t="shared" ref="E41:G41" si="4">SUM(E38:E39)</f>
        <v>0</v>
      </c>
      <c r="F41" s="93">
        <f t="shared" si="4"/>
        <v>0</v>
      </c>
      <c r="G41" s="98">
        <f t="shared" si="4"/>
        <v>0</v>
      </c>
      <c r="H41" s="59">
        <f>SUM(H38:H40)</f>
        <v>37117.768499999998</v>
      </c>
    </row>
    <row r="42" spans="1:8" ht="15" customHeight="1">
      <c r="A42" s="65"/>
      <c r="B42" s="66"/>
      <c r="C42" s="66"/>
      <c r="D42" s="66"/>
      <c r="E42" s="66"/>
      <c r="F42" s="66"/>
      <c r="G42" s="99"/>
      <c r="H42" s="2"/>
    </row>
    <row r="43" spans="1:8" ht="15" customHeight="1">
      <c r="A43" s="65"/>
      <c r="B43" s="66"/>
      <c r="C43" s="66"/>
      <c r="D43" s="66"/>
      <c r="E43" s="66"/>
      <c r="F43" s="66"/>
      <c r="G43" s="99"/>
      <c r="H43" s="2"/>
    </row>
    <row r="44" spans="1:8" ht="15" customHeight="1">
      <c r="A44" s="65"/>
      <c r="B44" s="67"/>
      <c r="C44" s="67"/>
      <c r="D44" s="67"/>
      <c r="E44" s="67"/>
      <c r="F44" s="67"/>
      <c r="G44" s="99"/>
      <c r="H44" s="100"/>
    </row>
    <row r="45" spans="1:8" ht="15" customHeight="1">
      <c r="A45" s="17"/>
      <c r="B45" s="17" t="s">
        <v>39</v>
      </c>
      <c r="C45" s="17"/>
      <c r="D45" s="17"/>
      <c r="E45" s="17"/>
      <c r="F45" s="23"/>
      <c r="G45" s="101"/>
      <c r="H45" s="17"/>
    </row>
    <row r="46" spans="1:8" ht="29.25" customHeight="1">
      <c r="A46" s="51" t="s">
        <v>3</v>
      </c>
      <c r="B46" s="52" t="s">
        <v>4</v>
      </c>
      <c r="C46" s="52" t="s">
        <v>5</v>
      </c>
      <c r="D46" s="102" t="s">
        <v>6</v>
      </c>
      <c r="E46" s="52" t="s">
        <v>7</v>
      </c>
      <c r="F46" s="74" t="s">
        <v>8</v>
      </c>
      <c r="G46" s="90" t="str">
        <f>G37</f>
        <v>COMPENSACIONES</v>
      </c>
      <c r="H46" s="52" t="s">
        <v>10</v>
      </c>
    </row>
    <row r="47" spans="1:8" ht="51" customHeight="1">
      <c r="A47" s="68" t="s">
        <v>40</v>
      </c>
      <c r="B47" s="69" t="s">
        <v>41</v>
      </c>
      <c r="C47" s="70">
        <f>'[1]MADRE BANCO'!$G$35</f>
        <v>20545.255499999999</v>
      </c>
      <c r="D47" s="70">
        <f>'[1]MADRE BANCO'!$H$35</f>
        <v>1078.2555</v>
      </c>
      <c r="E47" s="70"/>
      <c r="F47" s="103"/>
      <c r="G47" s="104"/>
      <c r="H47" s="70">
        <f>C47-D47+E47+G47</f>
        <v>19467</v>
      </c>
    </row>
    <row r="48" spans="1:8" ht="15">
      <c r="A48" s="50"/>
      <c r="B48" s="50" t="s">
        <v>42</v>
      </c>
      <c r="C48" s="50"/>
      <c r="D48" s="50"/>
      <c r="E48" s="50"/>
      <c r="F48" s="23"/>
      <c r="G48" s="101"/>
      <c r="H48" s="50"/>
    </row>
    <row r="49" spans="1:8" ht="31.5" customHeight="1">
      <c r="A49" s="51" t="s">
        <v>3</v>
      </c>
      <c r="B49" s="52" t="s">
        <v>4</v>
      </c>
      <c r="C49" s="52" t="s">
        <v>5</v>
      </c>
      <c r="D49" s="52" t="s">
        <v>6</v>
      </c>
      <c r="E49" s="52" t="s">
        <v>7</v>
      </c>
      <c r="F49" s="74" t="s">
        <v>8</v>
      </c>
      <c r="G49" s="90" t="s">
        <v>9</v>
      </c>
      <c r="H49" s="52" t="s">
        <v>10</v>
      </c>
    </row>
    <row r="50" spans="1:8" ht="51" customHeight="1">
      <c r="A50" s="45" t="s">
        <v>43</v>
      </c>
      <c r="B50" s="35" t="s">
        <v>44</v>
      </c>
      <c r="C50" s="20">
        <f>'[1]MADRE BANCO'!$G$36</f>
        <v>7565.3760000000002</v>
      </c>
      <c r="D50" s="20">
        <f>'[1]MADRE BANCO'!$H$36</f>
        <v>240.24</v>
      </c>
      <c r="E50" s="20"/>
      <c r="G50" s="85"/>
      <c r="H50" s="18">
        <f>C50-D50+E50+G50</f>
        <v>7325.1360000000004</v>
      </c>
    </row>
    <row r="51" spans="1:8" ht="51" customHeight="1">
      <c r="A51" s="45" t="s">
        <v>45</v>
      </c>
      <c r="B51" s="35" t="s">
        <v>46</v>
      </c>
      <c r="C51" s="20">
        <f>'[2]MADRE BANCO'!$G$37</f>
        <v>5723.1719999999996</v>
      </c>
      <c r="D51" s="18"/>
      <c r="E51" s="18">
        <v>90</v>
      </c>
      <c r="F51" s="19"/>
      <c r="G51" s="85"/>
      <c r="H51" s="18">
        <f t="shared" ref="H51:H53" si="5">C51-D51+E51+G51</f>
        <v>5813.1719999999996</v>
      </c>
    </row>
    <row r="52" spans="1:8" ht="51" customHeight="1">
      <c r="A52" s="8" t="s">
        <v>47</v>
      </c>
      <c r="B52" s="57" t="s">
        <v>48</v>
      </c>
      <c r="C52" s="20">
        <f>'[1]MADRE BANCO'!$G$38</f>
        <v>7565.3760000000002</v>
      </c>
      <c r="D52" s="20">
        <f>'[1]MADRE BANCO'!$H$38</f>
        <v>240.24</v>
      </c>
      <c r="E52" s="20"/>
      <c r="F52" s="21"/>
      <c r="G52" s="85"/>
      <c r="H52" s="18">
        <f t="shared" si="5"/>
        <v>7325.1360000000004</v>
      </c>
    </row>
    <row r="53" spans="1:8" ht="51" customHeight="1">
      <c r="A53" s="45" t="s">
        <v>49</v>
      </c>
      <c r="B53" s="35" t="s">
        <v>50</v>
      </c>
      <c r="C53" s="20">
        <f>'[1]MADRE BANCO'!$G$39</f>
        <v>6512.6880000000001</v>
      </c>
      <c r="D53" s="18">
        <f>'[1]MADRE BANCO'!$H$39</f>
        <v>171.44399999999999</v>
      </c>
      <c r="E53" s="18"/>
      <c r="F53" s="19"/>
      <c r="G53" s="85"/>
      <c r="H53" s="18">
        <f t="shared" si="5"/>
        <v>6341.2439999999997</v>
      </c>
    </row>
    <row r="54" spans="1:8" ht="25.5" customHeight="1">
      <c r="A54" s="58"/>
      <c r="B54" s="71" t="s">
        <v>51</v>
      </c>
      <c r="C54" s="59">
        <f t="shared" ref="C54:H54" si="6">SUM(C50:C53)</f>
        <v>27366.612000000001</v>
      </c>
      <c r="D54" s="59">
        <f t="shared" si="6"/>
        <v>651.92399999999998</v>
      </c>
      <c r="E54" s="59">
        <f t="shared" si="6"/>
        <v>90</v>
      </c>
      <c r="F54" s="93">
        <f t="shared" si="6"/>
        <v>0</v>
      </c>
      <c r="G54" s="94">
        <f t="shared" si="6"/>
        <v>0</v>
      </c>
      <c r="H54" s="59">
        <f t="shared" si="6"/>
        <v>26804.688000000002</v>
      </c>
    </row>
    <row r="55" spans="1:8" ht="15.75" customHeight="1">
      <c r="A55" s="325"/>
      <c r="B55" s="325"/>
      <c r="C55" s="325"/>
      <c r="D55" s="325"/>
      <c r="E55" s="325"/>
      <c r="F55" s="326"/>
      <c r="G55" s="327"/>
      <c r="H55" s="325"/>
    </row>
    <row r="56" spans="1:8" ht="24.75" customHeight="1">
      <c r="A56" s="51" t="s">
        <v>3</v>
      </c>
      <c r="B56" s="52" t="s">
        <v>4</v>
      </c>
      <c r="C56" s="52" t="s">
        <v>5</v>
      </c>
      <c r="D56" s="52" t="s">
        <v>6</v>
      </c>
      <c r="E56" s="52" t="s">
        <v>7</v>
      </c>
      <c r="F56" s="74" t="s">
        <v>8</v>
      </c>
      <c r="G56" s="90" t="str">
        <f>G46</f>
        <v>COMPENSACIONES</v>
      </c>
      <c r="H56" s="52" t="s">
        <v>10</v>
      </c>
    </row>
    <row r="57" spans="1:8" ht="51" customHeight="1">
      <c r="A57" s="45" t="s">
        <v>52</v>
      </c>
      <c r="B57" s="35" t="s">
        <v>53</v>
      </c>
      <c r="C57" s="18">
        <f>'[1]MADRE BANCO'!$G$40</f>
        <v>6786.78</v>
      </c>
      <c r="D57" s="20"/>
      <c r="E57" s="20">
        <v>90</v>
      </c>
      <c r="F57" s="21"/>
      <c r="G57" s="87"/>
      <c r="H57" s="18">
        <f>C57-D57+E57+G57</f>
        <v>6876.78</v>
      </c>
    </row>
    <row r="58" spans="1:8" ht="25.5" customHeight="1">
      <c r="A58" s="48"/>
      <c r="B58" s="71" t="s">
        <v>51</v>
      </c>
      <c r="C58" s="72">
        <f>SUM(C57)</f>
        <v>6786.78</v>
      </c>
      <c r="D58" s="72">
        <f t="shared" ref="D58:H58" si="7">SUM(D57)</f>
        <v>0</v>
      </c>
      <c r="E58" s="72">
        <f t="shared" si="7"/>
        <v>90</v>
      </c>
      <c r="F58" s="105">
        <f t="shared" si="7"/>
        <v>0</v>
      </c>
      <c r="G58" s="106">
        <f t="shared" si="7"/>
        <v>0</v>
      </c>
      <c r="H58" s="72">
        <f t="shared" si="7"/>
        <v>6876.78</v>
      </c>
    </row>
    <row r="59" spans="1:8" ht="25.5" customHeight="1">
      <c r="A59" s="48"/>
      <c r="B59" s="38" t="s">
        <v>23</v>
      </c>
      <c r="C59" s="73">
        <f>SUM(C54+C58)+C47</f>
        <v>54698.647499999999</v>
      </c>
      <c r="D59" s="107">
        <f>SUM(D54+D58)+D47</f>
        <v>1730.1795</v>
      </c>
      <c r="E59" s="107">
        <f>SUM(E54+E58)</f>
        <v>180</v>
      </c>
      <c r="F59" s="108">
        <f>SUM(F54+F58)</f>
        <v>0</v>
      </c>
      <c r="G59" s="109">
        <f>SUM(G54+G58)</f>
        <v>0</v>
      </c>
      <c r="H59" s="107">
        <f>SUM(H54+H58)+H47</f>
        <v>53148.468000000001</v>
      </c>
    </row>
    <row r="60" spans="1:8" ht="15" customHeight="1">
      <c r="A60" s="319"/>
      <c r="B60" s="319"/>
      <c r="C60" s="319"/>
      <c r="D60" s="319"/>
      <c r="E60" s="319"/>
      <c r="F60" s="320"/>
      <c r="G60" s="321"/>
      <c r="H60" s="319"/>
    </row>
    <row r="61" spans="1:8" ht="15" customHeight="1">
      <c r="A61" s="319"/>
      <c r="B61" s="319"/>
      <c r="C61" s="319"/>
      <c r="D61" s="319"/>
      <c r="E61" s="319"/>
      <c r="F61" s="320"/>
      <c r="G61" s="321"/>
      <c r="H61" s="319"/>
    </row>
    <row r="62" spans="1:8" ht="15" customHeight="1">
      <c r="A62" s="319"/>
      <c r="B62" s="319"/>
      <c r="C62" s="319"/>
      <c r="D62" s="319"/>
      <c r="E62" s="319"/>
      <c r="F62" s="320"/>
      <c r="G62" s="321"/>
      <c r="H62" s="319"/>
    </row>
    <row r="63" spans="1:8" ht="15" customHeight="1">
      <c r="A63" s="307"/>
      <c r="B63" s="307"/>
      <c r="C63" s="307"/>
      <c r="D63" s="307"/>
      <c r="E63" s="307"/>
      <c r="F63" s="308"/>
      <c r="G63" s="309"/>
      <c r="H63" s="307"/>
    </row>
    <row r="64" spans="1:8" ht="24.75" customHeight="1">
      <c r="A64" s="51" t="s">
        <v>3</v>
      </c>
      <c r="B64" s="52" t="s">
        <v>4</v>
      </c>
      <c r="C64" s="52" t="s">
        <v>5</v>
      </c>
      <c r="D64" s="52" t="s">
        <v>6</v>
      </c>
      <c r="E64" s="52" t="s">
        <v>7</v>
      </c>
      <c r="F64" s="74" t="s">
        <v>8</v>
      </c>
      <c r="G64" s="90" t="str">
        <f>G56</f>
        <v>COMPENSACIONES</v>
      </c>
      <c r="H64" s="52" t="s">
        <v>10</v>
      </c>
    </row>
    <row r="65" spans="1:19" ht="51" customHeight="1">
      <c r="A65" s="43" t="s">
        <v>54</v>
      </c>
      <c r="B65" s="61" t="s">
        <v>55</v>
      </c>
      <c r="C65" s="110">
        <f>'[3]MADRE BANCO'!$G$45</f>
        <v>14359.23</v>
      </c>
      <c r="D65" s="110">
        <f>'[3]MADRE BANCO'!$H$45</f>
        <v>454.23</v>
      </c>
      <c r="E65" s="55"/>
      <c r="F65" s="91"/>
      <c r="G65" s="92"/>
      <c r="H65" s="55">
        <f>C65-D65</f>
        <v>13905</v>
      </c>
    </row>
    <row r="66" spans="1:19" ht="24.75" customHeight="1">
      <c r="A66" s="15"/>
      <c r="B66" s="111" t="s">
        <v>23</v>
      </c>
      <c r="C66" s="112">
        <f>SUM(C65)</f>
        <v>14359.23</v>
      </c>
      <c r="D66" s="112">
        <f t="shared" ref="D66:H66" si="8">SUM(D65)</f>
        <v>454.23</v>
      </c>
      <c r="E66" s="112">
        <f t="shared" si="8"/>
        <v>0</v>
      </c>
      <c r="F66" s="135">
        <f t="shared" si="8"/>
        <v>0</v>
      </c>
      <c r="G66" s="136">
        <f t="shared" si="8"/>
        <v>0</v>
      </c>
      <c r="H66" s="112">
        <f t="shared" si="8"/>
        <v>13905</v>
      </c>
    </row>
    <row r="67" spans="1:19" ht="24" customHeight="1">
      <c r="A67" s="319"/>
      <c r="B67" s="319"/>
      <c r="C67" s="319"/>
      <c r="D67" s="319"/>
      <c r="E67" s="319"/>
      <c r="F67" s="320"/>
      <c r="G67" s="321"/>
      <c r="H67" s="319"/>
    </row>
    <row r="68" spans="1:19" ht="16.5" customHeight="1">
      <c r="A68" s="319"/>
      <c r="B68" s="319"/>
      <c r="C68" s="319"/>
      <c r="D68" s="319"/>
      <c r="E68" s="319"/>
      <c r="F68" s="320"/>
      <c r="G68" s="321"/>
      <c r="H68" s="319"/>
    </row>
    <row r="69" spans="1:19" ht="15.75" customHeight="1">
      <c r="A69" s="319"/>
      <c r="B69" s="319"/>
      <c r="C69" s="319"/>
      <c r="D69" s="319"/>
      <c r="E69" s="319"/>
      <c r="F69" s="320"/>
      <c r="G69" s="321"/>
      <c r="H69" s="319"/>
    </row>
    <row r="70" spans="1:19" ht="15.75" customHeight="1">
      <c r="A70" s="307"/>
      <c r="B70" s="307"/>
      <c r="C70" s="307"/>
      <c r="D70" s="307"/>
      <c r="E70" s="307"/>
      <c r="F70" s="308"/>
      <c r="G70" s="309"/>
      <c r="H70" s="307"/>
    </row>
    <row r="71" spans="1:19" ht="45.75" customHeight="1">
      <c r="A71" s="113"/>
      <c r="B71" s="114" t="s">
        <v>56</v>
      </c>
      <c r="C71" s="20"/>
      <c r="D71" s="20"/>
      <c r="E71" s="20"/>
      <c r="F71" s="21"/>
      <c r="G71" s="137"/>
      <c r="H71" s="20"/>
    </row>
    <row r="72" spans="1:19" ht="33.75" customHeight="1">
      <c r="B72" s="115" t="s">
        <v>57</v>
      </c>
    </row>
    <row r="73" spans="1:19" ht="25.5" customHeight="1">
      <c r="A73" s="15"/>
      <c r="B73" s="116" t="s">
        <v>23</v>
      </c>
      <c r="C73" s="117">
        <f>SUM(C71:C72)</f>
        <v>0</v>
      </c>
      <c r="D73" s="117">
        <f t="shared" ref="D73:H73" si="9">SUM(D71:D72)</f>
        <v>0</v>
      </c>
      <c r="E73" s="117">
        <f t="shared" si="9"/>
        <v>0</v>
      </c>
      <c r="F73" s="138">
        <f t="shared" si="9"/>
        <v>0</v>
      </c>
      <c r="G73" s="139">
        <f t="shared" si="9"/>
        <v>0</v>
      </c>
      <c r="H73" s="117">
        <f t="shared" si="9"/>
        <v>0</v>
      </c>
    </row>
    <row r="74" spans="1:19" ht="15" customHeight="1">
      <c r="A74" s="313"/>
      <c r="B74" s="313"/>
      <c r="C74" s="313"/>
      <c r="D74" s="313"/>
      <c r="E74" s="313"/>
      <c r="F74" s="314"/>
      <c r="G74" s="315"/>
      <c r="H74" s="313"/>
    </row>
    <row r="75" spans="1:19" ht="15" customHeight="1">
      <c r="A75" s="313"/>
      <c r="B75" s="313"/>
      <c r="C75" s="313"/>
      <c r="D75" s="313"/>
      <c r="E75" s="313"/>
      <c r="F75" s="314"/>
      <c r="G75" s="315"/>
      <c r="H75" s="313"/>
    </row>
    <row r="76" spans="1:19" ht="15" customHeight="1">
      <c r="A76" s="328"/>
      <c r="B76" s="328"/>
      <c r="C76" s="328"/>
      <c r="D76" s="328"/>
      <c r="E76" s="328"/>
      <c r="F76" s="329"/>
      <c r="G76" s="330"/>
      <c r="H76" s="328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</row>
    <row r="77" spans="1:19" ht="15" customHeight="1">
      <c r="A77" s="307"/>
      <c r="B77" s="307"/>
      <c r="C77" s="307"/>
      <c r="D77" s="307"/>
      <c r="E77" s="307"/>
      <c r="F77" s="308"/>
      <c r="G77" s="309"/>
      <c r="H77" s="307"/>
    </row>
    <row r="78" spans="1:19" ht="24.75" customHeight="1">
      <c r="A78" s="40" t="str">
        <f>A5</f>
        <v>NOMBRE</v>
      </c>
      <c r="B78" s="41" t="str">
        <f>B5</f>
        <v>PUESTO</v>
      </c>
      <c r="C78" s="41" t="str">
        <f>C5</f>
        <v>SUELDO</v>
      </c>
      <c r="D78" s="41" t="str">
        <f>D5</f>
        <v>RETENCION</v>
      </c>
      <c r="E78" s="41" t="str">
        <f>E5</f>
        <v>S.E.</v>
      </c>
      <c r="F78" s="74" t="s">
        <v>8</v>
      </c>
      <c r="G78" s="90" t="str">
        <f>G64</f>
        <v>COMPENSACIONES</v>
      </c>
      <c r="H78" s="41" t="str">
        <f>H5</f>
        <v>SUELDO NETO</v>
      </c>
    </row>
    <row r="79" spans="1:19" ht="50.25" customHeight="1">
      <c r="A79" s="118" t="s">
        <v>58</v>
      </c>
      <c r="B79" s="119" t="s">
        <v>59</v>
      </c>
      <c r="C79" s="120">
        <f>7020*1.04*1.05</f>
        <v>7665.84</v>
      </c>
      <c r="D79" s="120">
        <f>220*1.04*1.05</f>
        <v>240.24</v>
      </c>
      <c r="E79" s="62"/>
      <c r="F79" s="83"/>
      <c r="G79" s="84"/>
      <c r="H79" s="62">
        <f>C79-D79+E79+G79</f>
        <v>7425.6</v>
      </c>
    </row>
    <row r="80" spans="1:19" ht="57" customHeight="1">
      <c r="A80" s="33" t="s">
        <v>60</v>
      </c>
      <c r="B80" s="57" t="s">
        <v>61</v>
      </c>
      <c r="C80" s="121">
        <f>3855*1.04*1.05</f>
        <v>4209.6600000000008</v>
      </c>
      <c r="D80" s="20"/>
      <c r="E80" s="20">
        <v>90</v>
      </c>
      <c r="F80" s="21"/>
      <c r="G80" s="140"/>
      <c r="H80" s="20">
        <f>C80-D80+E80+G80</f>
        <v>4299.6600000000008</v>
      </c>
    </row>
    <row r="81" spans="1:19" ht="25.5" customHeight="1">
      <c r="A81" s="122"/>
      <c r="B81" s="38" t="s">
        <v>23</v>
      </c>
      <c r="C81" s="59">
        <f t="shared" ref="C81:H81" si="10">SUM(C79:C80)</f>
        <v>11875.5</v>
      </c>
      <c r="D81" s="59">
        <f t="shared" si="10"/>
        <v>240.24</v>
      </c>
      <c r="E81" s="59">
        <f t="shared" si="10"/>
        <v>90</v>
      </c>
      <c r="F81" s="93">
        <f t="shared" si="10"/>
        <v>0</v>
      </c>
      <c r="G81" s="94">
        <f t="shared" si="10"/>
        <v>0</v>
      </c>
      <c r="H81" s="59">
        <f t="shared" si="10"/>
        <v>11725.260000000002</v>
      </c>
    </row>
    <row r="82" spans="1:19" ht="15" customHeight="1">
      <c r="A82" s="313"/>
      <c r="B82" s="313"/>
      <c r="C82" s="313"/>
      <c r="D82" s="313"/>
      <c r="E82" s="313"/>
      <c r="F82" s="314"/>
      <c r="G82" s="315"/>
      <c r="H82" s="313"/>
    </row>
    <row r="83" spans="1:19" ht="15" customHeight="1">
      <c r="A83" s="313"/>
      <c r="B83" s="313"/>
      <c r="C83" s="313"/>
      <c r="D83" s="313"/>
      <c r="E83" s="313"/>
      <c r="F83" s="314"/>
      <c r="G83" s="315"/>
      <c r="H83" s="313"/>
    </row>
    <row r="84" spans="1:19" ht="15" customHeight="1">
      <c r="A84" s="328"/>
      <c r="B84" s="328"/>
      <c r="C84" s="328"/>
      <c r="D84" s="328"/>
      <c r="E84" s="328"/>
      <c r="F84" s="329"/>
      <c r="G84" s="330"/>
      <c r="H84" s="328"/>
    </row>
    <row r="85" spans="1:19" ht="15" customHeight="1">
      <c r="A85" s="307"/>
      <c r="B85" s="307"/>
      <c r="C85" s="307"/>
      <c r="D85" s="307"/>
      <c r="E85" s="307"/>
      <c r="F85" s="308"/>
      <c r="G85" s="309"/>
      <c r="H85" s="307"/>
    </row>
    <row r="86" spans="1:19" ht="24.75" customHeight="1">
      <c r="A86" s="40" t="s">
        <v>62</v>
      </c>
      <c r="B86" s="41" t="str">
        <f>B5</f>
        <v>PUESTO</v>
      </c>
      <c r="C86" s="41" t="str">
        <f>C5</f>
        <v>SUELDO</v>
      </c>
      <c r="D86" s="41" t="str">
        <f>D5</f>
        <v>RETENCION</v>
      </c>
      <c r="E86" s="41" t="str">
        <f>E5</f>
        <v>S.E.</v>
      </c>
      <c r="F86" s="74" t="str">
        <f>F5</f>
        <v>APOYO ALIMENTO</v>
      </c>
      <c r="G86" s="90" t="str">
        <f>G78</f>
        <v>COMPENSACIONES</v>
      </c>
      <c r="H86" s="41" t="str">
        <f>H5</f>
        <v>SUELDO NETO</v>
      </c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</row>
    <row r="87" spans="1:19" ht="62.25" customHeight="1">
      <c r="A87" s="63" t="s">
        <v>63</v>
      </c>
      <c r="B87" s="63" t="s">
        <v>64</v>
      </c>
      <c r="C87" s="123">
        <f>'[4]MADRE BANCO'!$G$58</f>
        <v>3.9999999999054099E-3</v>
      </c>
      <c r="D87" s="123">
        <f>'[4]MADRE BANCO'!$H$58</f>
        <v>0</v>
      </c>
      <c r="E87" s="123"/>
      <c r="F87" s="21"/>
      <c r="G87" s="137"/>
      <c r="H87" s="123">
        <f>C87-D87+E87+G87</f>
        <v>3.9999999999054099E-3</v>
      </c>
    </row>
    <row r="88" spans="1:19" ht="25.5" customHeight="1">
      <c r="A88" s="122"/>
      <c r="B88" s="38" t="s">
        <v>23</v>
      </c>
      <c r="C88" s="59">
        <f t="shared" ref="C88:H88" si="11">SUM(C87:C87)</f>
        <v>3.9999999999054099E-3</v>
      </c>
      <c r="D88" s="59">
        <f t="shared" si="11"/>
        <v>0</v>
      </c>
      <c r="E88" s="59">
        <f t="shared" si="11"/>
        <v>0</v>
      </c>
      <c r="F88" s="93">
        <f t="shared" si="11"/>
        <v>0</v>
      </c>
      <c r="G88" s="94">
        <f t="shared" si="11"/>
        <v>0</v>
      </c>
      <c r="H88" s="59">
        <f t="shared" si="11"/>
        <v>3.9999999999054099E-3</v>
      </c>
    </row>
    <row r="89" spans="1:19" ht="15" customHeight="1">
      <c r="A89" s="319"/>
      <c r="B89" s="319"/>
      <c r="C89" s="319"/>
      <c r="D89" s="319"/>
      <c r="E89" s="319"/>
      <c r="F89" s="320"/>
      <c r="G89" s="321"/>
      <c r="H89" s="319"/>
    </row>
    <row r="90" spans="1:19" ht="15" customHeight="1">
      <c r="A90" s="319"/>
      <c r="B90" s="319"/>
      <c r="C90" s="319"/>
      <c r="D90" s="319"/>
      <c r="E90" s="319"/>
      <c r="F90" s="320"/>
      <c r="G90" s="321"/>
      <c r="H90" s="319"/>
    </row>
    <row r="91" spans="1:19" ht="15" customHeight="1">
      <c r="A91" s="322"/>
      <c r="B91" s="322"/>
      <c r="C91" s="322"/>
      <c r="D91" s="322"/>
      <c r="E91" s="322"/>
      <c r="F91" s="323"/>
      <c r="G91" s="324"/>
      <c r="H91" s="322"/>
    </row>
    <row r="92" spans="1:19" ht="15" customHeight="1">
      <c r="A92" s="307"/>
      <c r="B92" s="307"/>
      <c r="C92" s="307"/>
      <c r="D92" s="307"/>
      <c r="E92" s="307"/>
      <c r="F92" s="308"/>
      <c r="G92" s="309"/>
      <c r="H92" s="307"/>
    </row>
    <row r="93" spans="1:19" ht="24.75" customHeight="1">
      <c r="A93" s="51" t="s">
        <v>3</v>
      </c>
      <c r="B93" s="52" t="s">
        <v>4</v>
      </c>
      <c r="C93" s="52" t="s">
        <v>5</v>
      </c>
      <c r="D93" s="52" t="s">
        <v>6</v>
      </c>
      <c r="E93" s="52" t="s">
        <v>7</v>
      </c>
      <c r="F93" s="74" t="s">
        <v>8</v>
      </c>
      <c r="G93" s="90" t="str">
        <f>G86</f>
        <v>COMPENSACIONES</v>
      </c>
      <c r="H93" s="52" t="s">
        <v>10</v>
      </c>
    </row>
    <row r="94" spans="1:19" ht="57" customHeight="1">
      <c r="A94" s="43" t="s">
        <v>65</v>
      </c>
      <c r="B94" s="69" t="s">
        <v>66</v>
      </c>
      <c r="C94" s="44">
        <f>10038*1.04*1.05</f>
        <v>10961.496000000001</v>
      </c>
      <c r="D94" s="44">
        <f>441*1.04*1.05</f>
        <v>481.57200000000006</v>
      </c>
      <c r="E94" s="44"/>
      <c r="F94" s="83"/>
      <c r="G94" s="84"/>
      <c r="H94" s="44">
        <f>C94-D94+G94</f>
        <v>10479.924000000001</v>
      </c>
    </row>
    <row r="95" spans="1:19" ht="25.5" customHeight="1">
      <c r="A95" s="48"/>
      <c r="B95" s="38" t="s">
        <v>23</v>
      </c>
      <c r="C95" s="59">
        <f t="shared" ref="C95:H95" si="12">SUM(C94:C94)</f>
        <v>10961.496000000001</v>
      </c>
      <c r="D95" s="59">
        <f t="shared" si="12"/>
        <v>481.57200000000006</v>
      </c>
      <c r="E95" s="59">
        <f t="shared" si="12"/>
        <v>0</v>
      </c>
      <c r="F95" s="93">
        <f t="shared" si="12"/>
        <v>0</v>
      </c>
      <c r="G95" s="94">
        <f t="shared" si="12"/>
        <v>0</v>
      </c>
      <c r="H95" s="59">
        <f t="shared" si="12"/>
        <v>10479.924000000001</v>
      </c>
    </row>
    <row r="96" spans="1:19" ht="15" customHeight="1">
      <c r="A96" s="319"/>
      <c r="B96" s="319"/>
      <c r="C96" s="319"/>
      <c r="D96" s="319"/>
      <c r="E96" s="319"/>
      <c r="F96" s="320"/>
      <c r="G96" s="321"/>
      <c r="H96" s="319"/>
    </row>
    <row r="97" spans="1:8" ht="15" customHeight="1">
      <c r="A97" s="319"/>
      <c r="B97" s="319"/>
      <c r="C97" s="319"/>
      <c r="D97" s="319"/>
      <c r="E97" s="319"/>
      <c r="F97" s="320"/>
      <c r="G97" s="321"/>
      <c r="H97" s="319"/>
    </row>
    <row r="98" spans="1:8" ht="15" customHeight="1">
      <c r="A98" s="322"/>
      <c r="B98" s="322"/>
      <c r="C98" s="322"/>
      <c r="D98" s="322"/>
      <c r="E98" s="322"/>
      <c r="F98" s="323"/>
      <c r="G98" s="324"/>
      <c r="H98" s="322"/>
    </row>
    <row r="99" spans="1:8" ht="15" customHeight="1">
      <c r="A99" s="307"/>
      <c r="B99" s="307"/>
      <c r="C99" s="307"/>
      <c r="D99" s="307"/>
      <c r="E99" s="307"/>
      <c r="F99" s="308"/>
      <c r="G99" s="309"/>
      <c r="H99" s="307"/>
    </row>
    <row r="100" spans="1:8" ht="24.75" customHeight="1">
      <c r="A100" s="51" t="s">
        <v>3</v>
      </c>
      <c r="B100" s="52" t="s">
        <v>4</v>
      </c>
      <c r="C100" s="52" t="s">
        <v>5</v>
      </c>
      <c r="D100" s="52" t="s">
        <v>6</v>
      </c>
      <c r="E100" s="52" t="s">
        <v>7</v>
      </c>
      <c r="F100" s="74" t="s">
        <v>8</v>
      </c>
      <c r="G100" s="90" t="str">
        <f>G93</f>
        <v>COMPENSACIONES</v>
      </c>
      <c r="H100" s="52" t="s">
        <v>10</v>
      </c>
    </row>
    <row r="101" spans="1:8" ht="57.95" customHeight="1">
      <c r="A101" s="43" t="s">
        <v>67</v>
      </c>
      <c r="B101" s="61" t="s">
        <v>68</v>
      </c>
      <c r="C101" s="44">
        <f>10038*1.04*1.05</f>
        <v>10961.496000000001</v>
      </c>
      <c r="D101" s="44">
        <f>441*1.04*1.05</f>
        <v>481.57200000000006</v>
      </c>
      <c r="E101" s="62"/>
      <c r="F101" s="83"/>
      <c r="G101" s="84"/>
      <c r="H101" s="62">
        <f>C101-D101+E101+G101</f>
        <v>10479.924000000001</v>
      </c>
    </row>
    <row r="102" spans="1:8" ht="51" customHeight="1">
      <c r="A102" s="45" t="s">
        <v>69</v>
      </c>
      <c r="B102" s="35" t="s">
        <v>61</v>
      </c>
      <c r="C102" s="22">
        <f>6405*1.04*1.05</f>
        <v>6994.26</v>
      </c>
      <c r="D102" s="22">
        <f>175*1.04*1.05</f>
        <v>191.1</v>
      </c>
      <c r="E102" s="18"/>
      <c r="F102" s="19"/>
      <c r="G102" s="85"/>
      <c r="H102" s="20">
        <f t="shared" ref="H102:H107" si="13">C102-D102+E102+F102+G102</f>
        <v>6803.16</v>
      </c>
    </row>
    <row r="103" spans="1:8" ht="51" customHeight="1">
      <c r="A103" s="33" t="s">
        <v>70</v>
      </c>
      <c r="B103" s="125" t="s">
        <v>33</v>
      </c>
      <c r="C103" s="126">
        <f>4740*1.04*1.05</f>
        <v>5176.0800000000008</v>
      </c>
      <c r="D103" s="141"/>
      <c r="E103" s="20">
        <v>90</v>
      </c>
      <c r="F103" s="21"/>
      <c r="G103" s="85"/>
      <c r="H103" s="20">
        <f t="shared" si="13"/>
        <v>5266.0800000000008</v>
      </c>
    </row>
    <row r="104" spans="1:8" ht="51" customHeight="1">
      <c r="A104" s="45" t="s">
        <v>71</v>
      </c>
      <c r="B104" s="35" t="s">
        <v>61</v>
      </c>
      <c r="C104" s="22">
        <f>4790*1.04*1.05</f>
        <v>5230.68</v>
      </c>
      <c r="D104" s="22"/>
      <c r="E104" s="18">
        <v>90</v>
      </c>
      <c r="F104" s="19"/>
      <c r="G104" s="85"/>
      <c r="H104" s="20">
        <f t="shared" si="13"/>
        <v>5320.68</v>
      </c>
    </row>
    <row r="105" spans="1:8" ht="51" customHeight="1">
      <c r="A105" s="45" t="s">
        <v>72</v>
      </c>
      <c r="B105" s="35" t="s">
        <v>61</v>
      </c>
      <c r="C105" s="22">
        <f>4552*1.04*1.05</f>
        <v>4970.7840000000006</v>
      </c>
      <c r="D105" s="22"/>
      <c r="E105" s="20">
        <v>90</v>
      </c>
      <c r="F105" s="21"/>
      <c r="G105" s="85"/>
      <c r="H105" s="20">
        <f t="shared" si="13"/>
        <v>5060.7840000000006</v>
      </c>
    </row>
    <row r="106" spans="1:8" ht="51" customHeight="1">
      <c r="A106" s="45" t="s">
        <v>73</v>
      </c>
      <c r="B106" s="35" t="s">
        <v>61</v>
      </c>
      <c r="C106" s="22">
        <f>4618*1.04*1.05</f>
        <v>5042.8560000000007</v>
      </c>
      <c r="D106" s="22"/>
      <c r="E106" s="20">
        <v>90</v>
      </c>
      <c r="F106" s="21"/>
      <c r="G106" s="85"/>
      <c r="H106" s="20">
        <f>C106-D106+E106+G106</f>
        <v>5132.8560000000007</v>
      </c>
    </row>
    <row r="107" spans="1:8" ht="51" customHeight="1">
      <c r="A107" s="45" t="s">
        <v>74</v>
      </c>
      <c r="B107" s="35" t="s">
        <v>75</v>
      </c>
      <c r="C107" s="127">
        <f>6928*1.04*1.05</f>
        <v>7565.3760000000002</v>
      </c>
      <c r="D107" s="127">
        <f>220*1.04*1.05</f>
        <v>240.24</v>
      </c>
      <c r="E107" s="142"/>
      <c r="F107" s="86"/>
      <c r="G107" s="87"/>
      <c r="H107" s="142">
        <f t="shared" si="13"/>
        <v>7325.1360000000004</v>
      </c>
    </row>
    <row r="108" spans="1:8" ht="25.5" customHeight="1">
      <c r="A108" s="48"/>
      <c r="B108" s="38" t="s">
        <v>23</v>
      </c>
      <c r="C108" s="49">
        <f t="shared" ref="C108:H108" si="14">SUM(C101:C107)</f>
        <v>45941.532000000007</v>
      </c>
      <c r="D108" s="49">
        <f t="shared" si="14"/>
        <v>912.91200000000003</v>
      </c>
      <c r="E108" s="49">
        <f t="shared" si="14"/>
        <v>360</v>
      </c>
      <c r="F108" s="88">
        <f t="shared" si="14"/>
        <v>0</v>
      </c>
      <c r="G108" s="89">
        <f t="shared" si="14"/>
        <v>0</v>
      </c>
      <c r="H108" s="49">
        <f t="shared" si="14"/>
        <v>45388.62</v>
      </c>
    </row>
    <row r="109" spans="1:8" ht="15" customHeight="1">
      <c r="A109" s="319"/>
      <c r="B109" s="319"/>
      <c r="C109" s="319"/>
      <c r="D109" s="319"/>
      <c r="E109" s="319"/>
      <c r="F109" s="320"/>
      <c r="G109" s="321"/>
      <c r="H109" s="319"/>
    </row>
    <row r="110" spans="1:8" ht="15" customHeight="1">
      <c r="A110" s="319"/>
      <c r="B110" s="319"/>
      <c r="C110" s="319"/>
      <c r="D110" s="319"/>
      <c r="E110" s="319"/>
      <c r="F110" s="320"/>
      <c r="G110" s="321"/>
      <c r="H110" s="319"/>
    </row>
    <row r="111" spans="1:8" ht="15" customHeight="1">
      <c r="A111" s="322"/>
      <c r="B111" s="322"/>
      <c r="C111" s="322"/>
      <c r="D111" s="322"/>
      <c r="E111" s="322"/>
      <c r="F111" s="323"/>
      <c r="G111" s="324"/>
      <c r="H111" s="322"/>
    </row>
    <row r="112" spans="1:8" ht="15" customHeight="1">
      <c r="A112" s="307"/>
      <c r="B112" s="307"/>
      <c r="C112" s="307"/>
      <c r="D112" s="307"/>
      <c r="E112" s="307"/>
      <c r="F112" s="308"/>
      <c r="G112" s="309"/>
      <c r="H112" s="307"/>
    </row>
    <row r="113" spans="1:8" ht="24.75" customHeight="1">
      <c r="A113" s="51" t="s">
        <v>3</v>
      </c>
      <c r="B113" s="52" t="s">
        <v>4</v>
      </c>
      <c r="C113" s="52" t="s">
        <v>5</v>
      </c>
      <c r="D113" s="52" t="s">
        <v>6</v>
      </c>
      <c r="E113" s="52" t="s">
        <v>7</v>
      </c>
      <c r="F113" s="74" t="s">
        <v>8</v>
      </c>
      <c r="G113" s="90" t="str">
        <f>G100</f>
        <v>COMPENSACIONES</v>
      </c>
      <c r="H113" s="52" t="s">
        <v>10</v>
      </c>
    </row>
    <row r="114" spans="1:8" ht="51" customHeight="1">
      <c r="A114" s="68" t="s">
        <v>76</v>
      </c>
      <c r="B114" s="69" t="s">
        <v>59</v>
      </c>
      <c r="C114" s="120">
        <f>6720*1.04*1.05</f>
        <v>7338.2400000000007</v>
      </c>
      <c r="D114" s="143">
        <f>220*1.04*1.05</f>
        <v>240.24</v>
      </c>
      <c r="E114" s="62"/>
      <c r="F114" s="83"/>
      <c r="G114" s="84"/>
      <c r="H114" s="62">
        <f>C114-D114+E114+G114</f>
        <v>7098.0000000000009</v>
      </c>
    </row>
    <row r="115" spans="1:8" ht="63" customHeight="1">
      <c r="A115" s="9" t="s">
        <v>77</v>
      </c>
      <c r="B115" s="57" t="s">
        <v>78</v>
      </c>
      <c r="C115" s="128">
        <f>5000</f>
        <v>5000</v>
      </c>
      <c r="D115" s="5"/>
      <c r="E115" s="5"/>
      <c r="F115" s="144"/>
      <c r="G115" s="85"/>
      <c r="H115" s="5">
        <f>C115-D115+E115+G115</f>
        <v>5000</v>
      </c>
    </row>
    <row r="116" spans="1:8" ht="25.5" customHeight="1">
      <c r="A116" s="48"/>
      <c r="B116" s="38" t="s">
        <v>23</v>
      </c>
      <c r="C116" s="59">
        <f>SUM(C114:C115)</f>
        <v>12338.240000000002</v>
      </c>
      <c r="D116" s="59">
        <f t="shared" ref="D116:H116" si="15">SUM(D114:D115)</f>
        <v>240.24</v>
      </c>
      <c r="E116" s="59">
        <f t="shared" si="15"/>
        <v>0</v>
      </c>
      <c r="F116" s="93">
        <f t="shared" si="15"/>
        <v>0</v>
      </c>
      <c r="G116" s="94">
        <f t="shared" si="15"/>
        <v>0</v>
      </c>
      <c r="H116" s="59">
        <f t="shared" si="15"/>
        <v>12098</v>
      </c>
    </row>
    <row r="117" spans="1:8" ht="15" customHeight="1">
      <c r="A117" s="319"/>
      <c r="B117" s="319"/>
      <c r="C117" s="319"/>
      <c r="D117" s="319"/>
      <c r="E117" s="319"/>
      <c r="F117" s="320"/>
      <c r="G117" s="321"/>
      <c r="H117" s="319"/>
    </row>
    <row r="118" spans="1:8" ht="15" customHeight="1">
      <c r="A118" s="319"/>
      <c r="B118" s="319"/>
      <c r="C118" s="319"/>
      <c r="D118" s="319"/>
      <c r="E118" s="319"/>
      <c r="F118" s="320"/>
      <c r="G118" s="321"/>
      <c r="H118" s="319"/>
    </row>
    <row r="119" spans="1:8" ht="15" customHeight="1">
      <c r="A119" s="322"/>
      <c r="B119" s="322"/>
      <c r="C119" s="322"/>
      <c r="D119" s="322"/>
      <c r="E119" s="322"/>
      <c r="F119" s="323"/>
      <c r="G119" s="324"/>
      <c r="H119" s="322"/>
    </row>
    <row r="120" spans="1:8" ht="15" customHeight="1">
      <c r="A120" s="307"/>
      <c r="B120" s="307"/>
      <c r="C120" s="307"/>
      <c r="D120" s="307"/>
      <c r="E120" s="307"/>
      <c r="F120" s="308"/>
      <c r="G120" s="309"/>
      <c r="H120" s="307"/>
    </row>
    <row r="121" spans="1:8" ht="24.75" customHeight="1">
      <c r="A121" s="51" t="s">
        <v>3</v>
      </c>
      <c r="B121" s="52" t="s">
        <v>4</v>
      </c>
      <c r="C121" s="52" t="s">
        <v>5</v>
      </c>
      <c r="D121" s="52" t="s">
        <v>6</v>
      </c>
      <c r="E121" s="52" t="s">
        <v>7</v>
      </c>
      <c r="F121" s="74" t="s">
        <v>8</v>
      </c>
      <c r="G121" s="90" t="str">
        <f>G113</f>
        <v>COMPENSACIONES</v>
      </c>
      <c r="H121" s="52" t="s">
        <v>10</v>
      </c>
    </row>
    <row r="122" spans="1:8" ht="9.75" customHeight="1">
      <c r="A122" s="129"/>
      <c r="B122" s="69"/>
      <c r="C122" s="62"/>
      <c r="D122" s="62"/>
      <c r="E122" s="62"/>
      <c r="F122" s="83"/>
      <c r="G122" s="145"/>
      <c r="H122" s="62"/>
    </row>
    <row r="123" spans="1:8" ht="56.1" customHeight="1">
      <c r="A123" s="43" t="s">
        <v>79</v>
      </c>
      <c r="B123" s="61" t="s">
        <v>66</v>
      </c>
      <c r="C123" s="44">
        <f>10038*1.04*1.05</f>
        <v>10961.496000000001</v>
      </c>
      <c r="D123" s="44">
        <f>441*1.04*1.05</f>
        <v>481.57200000000006</v>
      </c>
      <c r="E123" s="62"/>
      <c r="F123" s="83"/>
      <c r="G123" s="84"/>
      <c r="H123" s="62">
        <f>C123-D123+E123+G123</f>
        <v>10479.924000000001</v>
      </c>
    </row>
    <row r="124" spans="1:8" ht="45" customHeight="1">
      <c r="A124" s="130" t="s">
        <v>80</v>
      </c>
      <c r="B124" s="16" t="s">
        <v>81</v>
      </c>
      <c r="C124" s="22">
        <f>'[5]MADRE BANCO'!$G$85</f>
        <v>3990</v>
      </c>
      <c r="D124" s="22"/>
      <c r="E124" s="18"/>
      <c r="F124" s="19"/>
      <c r="G124" s="85"/>
      <c r="H124" s="18">
        <f>C124-D124+E124+G124</f>
        <v>3990</v>
      </c>
    </row>
    <row r="125" spans="1:8" ht="51" customHeight="1">
      <c r="A125" s="33" t="s">
        <v>82</v>
      </c>
      <c r="B125" s="34" t="s">
        <v>83</v>
      </c>
      <c r="C125" s="22">
        <f>4415*1.05*1.05</f>
        <v>4867.5375000000004</v>
      </c>
      <c r="D125" s="22"/>
      <c r="E125" s="20">
        <v>90</v>
      </c>
      <c r="F125" s="21"/>
      <c r="G125" s="85"/>
      <c r="H125" s="18">
        <f>C125-D125+E125+G125</f>
        <v>4957.5375000000004</v>
      </c>
    </row>
    <row r="126" spans="1:8" ht="51" customHeight="1">
      <c r="A126" s="33" t="s">
        <v>84</v>
      </c>
      <c r="B126" s="131" t="s">
        <v>85</v>
      </c>
      <c r="C126" s="22">
        <f>2000*1.05</f>
        <v>2100</v>
      </c>
      <c r="D126" s="22"/>
      <c r="E126" s="20">
        <v>167</v>
      </c>
      <c r="F126" s="21"/>
      <c r="G126" s="85"/>
      <c r="H126" s="18">
        <f>C126-D126+E126+G126</f>
        <v>2267</v>
      </c>
    </row>
    <row r="127" spans="1:8" ht="51" customHeight="1">
      <c r="A127" s="33" t="s">
        <v>86</v>
      </c>
      <c r="B127" s="125" t="s">
        <v>83</v>
      </c>
      <c r="C127" s="132">
        <f>2756*1.05*1.05</f>
        <v>3038.4900000000002</v>
      </c>
      <c r="D127" s="132"/>
      <c r="E127" s="20">
        <v>167</v>
      </c>
      <c r="F127" s="21"/>
      <c r="G127" s="85"/>
      <c r="H127" s="18">
        <f>C127-D127+E127+G127</f>
        <v>3205.4900000000002</v>
      </c>
    </row>
    <row r="128" spans="1:8" ht="25.5" customHeight="1">
      <c r="A128" s="48"/>
      <c r="B128" s="133" t="s">
        <v>23</v>
      </c>
      <c r="C128" s="134">
        <f t="shared" ref="C128:H128" si="16">SUM(C123:C127)</f>
        <v>24957.523500000003</v>
      </c>
      <c r="D128" s="134">
        <f t="shared" si="16"/>
        <v>481.57200000000006</v>
      </c>
      <c r="E128" s="134">
        <f t="shared" si="16"/>
        <v>424</v>
      </c>
      <c r="F128" s="146">
        <f t="shared" si="16"/>
        <v>0</v>
      </c>
      <c r="G128" s="147">
        <f t="shared" si="16"/>
        <v>0</v>
      </c>
      <c r="H128" s="134">
        <f t="shared" si="16"/>
        <v>24899.951500000003</v>
      </c>
    </row>
    <row r="129" spans="1:8" ht="15" customHeight="1">
      <c r="A129" s="319"/>
      <c r="B129" s="319"/>
      <c r="C129" s="319"/>
      <c r="D129" s="319"/>
      <c r="E129" s="319"/>
      <c r="F129" s="320"/>
      <c r="G129" s="321"/>
      <c r="H129" s="319"/>
    </row>
    <row r="130" spans="1:8" ht="15" customHeight="1">
      <c r="A130" s="319"/>
      <c r="B130" s="319"/>
      <c r="C130" s="319"/>
      <c r="D130" s="319"/>
      <c r="E130" s="319"/>
      <c r="F130" s="320"/>
      <c r="G130" s="321"/>
      <c r="H130" s="319"/>
    </row>
    <row r="131" spans="1:8" ht="15" customHeight="1">
      <c r="A131" s="322"/>
      <c r="B131" s="322"/>
      <c r="C131" s="322"/>
      <c r="D131" s="322"/>
      <c r="E131" s="322"/>
      <c r="F131" s="323"/>
      <c r="G131" s="324"/>
      <c r="H131" s="322"/>
    </row>
    <row r="132" spans="1:8" ht="15" customHeight="1">
      <c r="A132" s="307"/>
      <c r="B132" s="307"/>
      <c r="C132" s="307"/>
      <c r="D132" s="307"/>
      <c r="E132" s="307"/>
      <c r="F132" s="308"/>
      <c r="G132" s="309"/>
      <c r="H132" s="307"/>
    </row>
    <row r="133" spans="1:8" ht="24.75" customHeight="1">
      <c r="A133" s="51" t="s">
        <v>3</v>
      </c>
      <c r="B133" s="52" t="s">
        <v>4</v>
      </c>
      <c r="C133" s="52" t="s">
        <v>5</v>
      </c>
      <c r="D133" s="52" t="s">
        <v>6</v>
      </c>
      <c r="E133" s="52" t="s">
        <v>7</v>
      </c>
      <c r="F133" s="74" t="s">
        <v>8</v>
      </c>
      <c r="G133" s="90" t="str">
        <f>G121</f>
        <v>COMPENSACIONES</v>
      </c>
      <c r="H133" s="52" t="s">
        <v>10</v>
      </c>
    </row>
    <row r="134" spans="1:8" ht="51" customHeight="1">
      <c r="A134" s="148" t="s">
        <v>87</v>
      </c>
      <c r="B134" s="61" t="s">
        <v>66</v>
      </c>
      <c r="C134" s="44">
        <f>10038*1.04*1.05</f>
        <v>10961.496000000001</v>
      </c>
      <c r="D134" s="44">
        <f>441*1.04*1.05</f>
        <v>481.57200000000006</v>
      </c>
      <c r="E134" s="62"/>
      <c r="F134" s="83"/>
      <c r="G134" s="84"/>
      <c r="H134" s="62">
        <f>C134-D134+E134+G134</f>
        <v>10479.924000000001</v>
      </c>
    </row>
    <row r="135" spans="1:8" ht="51" customHeight="1">
      <c r="A135" s="45" t="s">
        <v>88</v>
      </c>
      <c r="B135" s="34" t="s">
        <v>89</v>
      </c>
      <c r="C135" s="149">
        <f>5765*1.04*1.05</f>
        <v>6295.380000000001</v>
      </c>
      <c r="D135" s="22">
        <f>299*1.04*1.05</f>
        <v>326.50800000000004</v>
      </c>
      <c r="E135" s="18"/>
      <c r="F135" s="19"/>
      <c r="G135" s="85"/>
      <c r="H135" s="18">
        <f>C135-D135+E135+G135</f>
        <v>5968.8720000000012</v>
      </c>
    </row>
    <row r="136" spans="1:8" ht="51" customHeight="1">
      <c r="A136" s="45" t="s">
        <v>90</v>
      </c>
      <c r="B136" s="34" t="s">
        <v>89</v>
      </c>
      <c r="C136" s="150">
        <f>4310*1.04*1.05</f>
        <v>4706.5200000000004</v>
      </c>
      <c r="D136" s="22"/>
      <c r="E136" s="18">
        <v>90</v>
      </c>
      <c r="F136" s="19"/>
      <c r="G136" s="85"/>
      <c r="H136" s="18">
        <f t="shared" ref="H136:H139" si="17">C136-D136+E136+G136</f>
        <v>4796.5200000000004</v>
      </c>
    </row>
    <row r="137" spans="1:8" ht="51" customHeight="1">
      <c r="A137" s="45" t="s">
        <v>91</v>
      </c>
      <c r="B137" s="35" t="s">
        <v>92</v>
      </c>
      <c r="C137" s="150">
        <f>4310*1.04*1.05</f>
        <v>4706.5200000000004</v>
      </c>
      <c r="D137" s="22"/>
      <c r="E137" s="18">
        <v>90</v>
      </c>
      <c r="F137" s="19"/>
      <c r="G137" s="85"/>
      <c r="H137" s="18">
        <f t="shared" si="17"/>
        <v>4796.5200000000004</v>
      </c>
    </row>
    <row r="138" spans="1:8" ht="51" customHeight="1">
      <c r="A138" s="33" t="s">
        <v>93</v>
      </c>
      <c r="B138" s="35" t="s">
        <v>94</v>
      </c>
      <c r="C138" s="151">
        <f>3465*1.05</f>
        <v>3638.25</v>
      </c>
      <c r="D138" s="22"/>
      <c r="E138" s="5">
        <v>90</v>
      </c>
      <c r="F138" s="144"/>
      <c r="G138" s="85"/>
      <c r="H138" s="18">
        <f t="shared" si="17"/>
        <v>3728.25</v>
      </c>
    </row>
    <row r="139" spans="1:8" ht="51" customHeight="1">
      <c r="A139" s="45" t="s">
        <v>95</v>
      </c>
      <c r="B139" s="35" t="s">
        <v>89</v>
      </c>
      <c r="C139" s="152">
        <f>4310*1.04*1.05</f>
        <v>4706.5200000000004</v>
      </c>
      <c r="D139" s="127"/>
      <c r="E139" s="142">
        <v>90</v>
      </c>
      <c r="F139" s="86"/>
      <c r="G139" s="87"/>
      <c r="H139" s="142">
        <f t="shared" si="17"/>
        <v>4796.5200000000004</v>
      </c>
    </row>
    <row r="140" spans="1:8" ht="25.5" customHeight="1">
      <c r="A140" s="153"/>
      <c r="B140" s="38" t="s">
        <v>23</v>
      </c>
      <c r="C140" s="154">
        <f>SUM(C134:C139)</f>
        <v>35014.686000000002</v>
      </c>
      <c r="D140" s="154">
        <f t="shared" ref="D140:H140" si="18">SUM(D134:D139)</f>
        <v>808.08000000000015</v>
      </c>
      <c r="E140" s="154">
        <f t="shared" si="18"/>
        <v>360</v>
      </c>
      <c r="F140" s="165">
        <f t="shared" si="18"/>
        <v>0</v>
      </c>
      <c r="G140" s="166">
        <f t="shared" si="18"/>
        <v>0</v>
      </c>
      <c r="H140" s="154">
        <f t="shared" si="18"/>
        <v>34566.606</v>
      </c>
    </row>
    <row r="141" spans="1:8" ht="15" customHeight="1">
      <c r="A141" s="319"/>
      <c r="B141" s="319"/>
      <c r="C141" s="319"/>
      <c r="D141" s="319"/>
      <c r="E141" s="319"/>
      <c r="F141" s="320"/>
      <c r="G141" s="321"/>
      <c r="H141" s="319"/>
    </row>
    <row r="142" spans="1:8" ht="15" customHeight="1">
      <c r="A142" s="319"/>
      <c r="B142" s="319"/>
      <c r="C142" s="319"/>
      <c r="D142" s="319"/>
      <c r="E142" s="319"/>
      <c r="F142" s="320"/>
      <c r="G142" s="321"/>
      <c r="H142" s="319"/>
    </row>
    <row r="143" spans="1:8" ht="15" customHeight="1">
      <c r="A143" s="322"/>
      <c r="B143" s="322"/>
      <c r="C143" s="322"/>
      <c r="D143" s="322"/>
      <c r="E143" s="322"/>
      <c r="F143" s="323"/>
      <c r="G143" s="324"/>
      <c r="H143" s="322"/>
    </row>
    <row r="144" spans="1:8" ht="15" customHeight="1">
      <c r="A144" s="307"/>
      <c r="B144" s="307"/>
      <c r="C144" s="307"/>
      <c r="D144" s="307"/>
      <c r="E144" s="307"/>
      <c r="F144" s="308"/>
      <c r="G144" s="309"/>
      <c r="H144" s="307"/>
    </row>
    <row r="145" spans="1:8" ht="24.75" customHeight="1">
      <c r="A145" s="51" t="s">
        <v>3</v>
      </c>
      <c r="B145" s="52" t="s">
        <v>4</v>
      </c>
      <c r="C145" s="52" t="s">
        <v>5</v>
      </c>
      <c r="D145" s="52" t="s">
        <v>6</v>
      </c>
      <c r="E145" s="52" t="s">
        <v>7</v>
      </c>
      <c r="F145" s="74" t="s">
        <v>8</v>
      </c>
      <c r="G145" s="90" t="str">
        <f>G133</f>
        <v>COMPENSACIONES</v>
      </c>
      <c r="H145" s="52" t="s">
        <v>10</v>
      </c>
    </row>
    <row r="146" spans="1:8" ht="53.1" customHeight="1">
      <c r="A146" s="148" t="s">
        <v>96</v>
      </c>
      <c r="B146" s="61" t="s">
        <v>66</v>
      </c>
      <c r="C146" s="44">
        <f>10038*1.04*1.05</f>
        <v>10961.496000000001</v>
      </c>
      <c r="D146" s="44">
        <f>441*1.04*1.05</f>
        <v>481.57200000000006</v>
      </c>
      <c r="E146" s="62"/>
      <c r="F146" s="83"/>
      <c r="G146" s="84"/>
      <c r="H146" s="62">
        <f>C146-D146+E146+F146+G146</f>
        <v>10479.924000000001</v>
      </c>
    </row>
    <row r="147" spans="1:8" ht="50.25" customHeight="1">
      <c r="A147" s="33" t="s">
        <v>97</v>
      </c>
      <c r="B147" s="35" t="s">
        <v>98</v>
      </c>
      <c r="C147" s="22">
        <f>3969*1.04*1.05</f>
        <v>4334.1480000000001</v>
      </c>
      <c r="D147" s="22"/>
      <c r="E147" s="18">
        <v>140</v>
      </c>
      <c r="F147" s="19"/>
      <c r="G147" s="85"/>
      <c r="H147" s="18">
        <f>C147-D147+E147+F147+G147</f>
        <v>4474.1480000000001</v>
      </c>
    </row>
    <row r="148" spans="1:8" ht="51" customHeight="1">
      <c r="A148" s="45" t="s">
        <v>99</v>
      </c>
      <c r="B148" s="35" t="s">
        <v>100</v>
      </c>
      <c r="C148" s="22">
        <f>6118*1.04*1.05</f>
        <v>6680.8560000000007</v>
      </c>
      <c r="D148" s="22">
        <f>456*1.04*1.05</f>
        <v>497.95200000000006</v>
      </c>
      <c r="E148" s="20"/>
      <c r="F148" s="21"/>
      <c r="G148" s="85"/>
      <c r="H148" s="18">
        <f>C148-D148+E148+F148+G148</f>
        <v>6182.9040000000005</v>
      </c>
    </row>
    <row r="149" spans="1:8" ht="51" customHeight="1">
      <c r="A149" s="45" t="s">
        <v>101</v>
      </c>
      <c r="B149" s="35" t="s">
        <v>100</v>
      </c>
      <c r="C149" s="155">
        <f>6468*1.04*1.05</f>
        <v>7063.0560000000005</v>
      </c>
      <c r="D149" s="22">
        <f>456*1.04*1.05</f>
        <v>497.95200000000006</v>
      </c>
      <c r="E149" s="20"/>
      <c r="F149" s="21"/>
      <c r="G149" s="85"/>
      <c r="H149" s="18">
        <f t="shared" ref="H149:H152" si="19">C149-D149+E149+F149+G149</f>
        <v>6565.1040000000003</v>
      </c>
    </row>
    <row r="150" spans="1:8" ht="51" customHeight="1">
      <c r="A150" s="156" t="s">
        <v>102</v>
      </c>
      <c r="B150" s="35" t="s">
        <v>100</v>
      </c>
      <c r="C150" s="157">
        <f>6228*1.04*1.05</f>
        <v>6800.9760000000006</v>
      </c>
      <c r="D150" s="22">
        <f>456*1.04*1.05</f>
        <v>497.95200000000006</v>
      </c>
      <c r="E150" s="167"/>
      <c r="F150" s="168"/>
      <c r="G150" s="85"/>
      <c r="H150" s="18">
        <f t="shared" si="19"/>
        <v>6303.0240000000003</v>
      </c>
    </row>
    <row r="151" spans="1:8" ht="51" customHeight="1">
      <c r="A151" s="156" t="s">
        <v>103</v>
      </c>
      <c r="B151" s="158" t="s">
        <v>104</v>
      </c>
      <c r="C151" s="159">
        <f>4811.2*1.05</f>
        <v>5051.76</v>
      </c>
      <c r="D151" s="169"/>
      <c r="E151" s="167">
        <v>90</v>
      </c>
      <c r="F151" s="168"/>
      <c r="G151" s="85"/>
      <c r="H151" s="18">
        <f t="shared" si="19"/>
        <v>5141.76</v>
      </c>
    </row>
    <row r="152" spans="1:8" ht="53.1" customHeight="1">
      <c r="A152" s="160" t="s">
        <v>105</v>
      </c>
      <c r="B152" s="35" t="s">
        <v>100</v>
      </c>
      <c r="C152" s="127">
        <f>5997*1.04*1.05</f>
        <v>6548.7240000000002</v>
      </c>
      <c r="D152" s="127">
        <f>456*1.04*1.05</f>
        <v>497.95200000000006</v>
      </c>
      <c r="E152" s="170"/>
      <c r="F152" s="171"/>
      <c r="G152" s="87"/>
      <c r="H152" s="142">
        <f t="shared" si="19"/>
        <v>6050.7719999999999</v>
      </c>
    </row>
    <row r="153" spans="1:8" ht="25.5" customHeight="1">
      <c r="A153" s="48"/>
      <c r="B153" s="38" t="s">
        <v>23</v>
      </c>
      <c r="C153" s="49">
        <f>SUM(C146:C152)</f>
        <v>47441.016000000003</v>
      </c>
      <c r="D153" s="49">
        <f t="shared" ref="D153:H153" si="20">SUM(D146:D152)</f>
        <v>2473.38</v>
      </c>
      <c r="E153" s="49">
        <f t="shared" si="20"/>
        <v>230</v>
      </c>
      <c r="F153" s="88">
        <f t="shared" si="20"/>
        <v>0</v>
      </c>
      <c r="G153" s="89">
        <f t="shared" si="20"/>
        <v>0</v>
      </c>
      <c r="H153" s="49">
        <f t="shared" si="20"/>
        <v>45197.635999999999</v>
      </c>
    </row>
    <row r="154" spans="1:8" ht="15" customHeight="1">
      <c r="A154" s="319"/>
      <c r="B154" s="319"/>
      <c r="C154" s="319"/>
      <c r="D154" s="319"/>
      <c r="E154" s="319"/>
      <c r="F154" s="320"/>
      <c r="G154" s="321"/>
      <c r="H154" s="319"/>
    </row>
    <row r="155" spans="1:8" ht="15" customHeight="1">
      <c r="A155" s="319"/>
      <c r="B155" s="319"/>
      <c r="C155" s="319"/>
      <c r="D155" s="319"/>
      <c r="E155" s="319"/>
      <c r="F155" s="320"/>
      <c r="G155" s="321"/>
      <c r="H155" s="319"/>
    </row>
    <row r="156" spans="1:8" ht="15" customHeight="1">
      <c r="A156" s="322"/>
      <c r="B156" s="322"/>
      <c r="C156" s="322"/>
      <c r="D156" s="322"/>
      <c r="E156" s="322"/>
      <c r="F156" s="323"/>
      <c r="G156" s="324"/>
      <c r="H156" s="322"/>
    </row>
    <row r="157" spans="1:8" ht="15" customHeight="1">
      <c r="A157" s="307"/>
      <c r="B157" s="307"/>
      <c r="C157" s="307"/>
      <c r="D157" s="307"/>
      <c r="E157" s="307"/>
      <c r="F157" s="308"/>
      <c r="G157" s="309"/>
      <c r="H157" s="307"/>
    </row>
    <row r="158" spans="1:8" ht="24.75" customHeight="1">
      <c r="A158" s="51" t="s">
        <v>3</v>
      </c>
      <c r="B158" s="52" t="s">
        <v>4</v>
      </c>
      <c r="C158" s="52" t="s">
        <v>5</v>
      </c>
      <c r="D158" s="52" t="s">
        <v>6</v>
      </c>
      <c r="E158" s="52" t="s">
        <v>7</v>
      </c>
      <c r="F158" s="74" t="s">
        <v>8</v>
      </c>
      <c r="G158" s="90" t="str">
        <f>G145</f>
        <v>COMPENSACIONES</v>
      </c>
      <c r="H158" s="52" t="s">
        <v>10</v>
      </c>
    </row>
    <row r="159" spans="1:8" ht="51" customHeight="1">
      <c r="A159" s="68" t="s">
        <v>106</v>
      </c>
      <c r="B159" s="161" t="s">
        <v>68</v>
      </c>
      <c r="C159" s="44">
        <f>10038*1.04*1.05</f>
        <v>10961.496000000001</v>
      </c>
      <c r="D159" s="44">
        <f>441*1.04*1.05</f>
        <v>481.57200000000006</v>
      </c>
      <c r="E159" s="55"/>
      <c r="F159" s="91"/>
      <c r="G159" s="92"/>
      <c r="H159" s="55">
        <f>C159-D159+E159+G159</f>
        <v>10479.924000000001</v>
      </c>
    </row>
    <row r="160" spans="1:8" ht="51" customHeight="1">
      <c r="A160" s="130" t="s">
        <v>107</v>
      </c>
      <c r="B160" s="57" t="s">
        <v>108</v>
      </c>
      <c r="C160" s="127">
        <f>'[6]MADRE BANCO'!$G$111</f>
        <v>560</v>
      </c>
      <c r="D160" s="142"/>
      <c r="E160" s="142"/>
      <c r="F160" s="86"/>
      <c r="G160" s="87"/>
      <c r="H160" s="142">
        <f>C160-D160+E160+F160+G160</f>
        <v>560</v>
      </c>
    </row>
    <row r="161" spans="1:8" ht="25.5" customHeight="1">
      <c r="A161" s="48"/>
      <c r="B161" s="162" t="s">
        <v>23</v>
      </c>
      <c r="C161" s="154">
        <f t="shared" ref="C161:H161" si="21">SUM(C159:C160)</f>
        <v>11521.496000000001</v>
      </c>
      <c r="D161" s="154">
        <f t="shared" si="21"/>
        <v>481.57200000000006</v>
      </c>
      <c r="E161" s="154">
        <f t="shared" si="21"/>
        <v>0</v>
      </c>
      <c r="F161" s="165">
        <f t="shared" si="21"/>
        <v>0</v>
      </c>
      <c r="G161" s="166">
        <f t="shared" si="21"/>
        <v>0</v>
      </c>
      <c r="H161" s="154">
        <f t="shared" si="21"/>
        <v>11039.924000000001</v>
      </c>
    </row>
    <row r="162" spans="1:8" ht="15" customHeight="1">
      <c r="A162" s="319"/>
      <c r="B162" s="319"/>
      <c r="C162" s="319"/>
      <c r="D162" s="319"/>
      <c r="E162" s="319"/>
      <c r="F162" s="320"/>
      <c r="G162" s="321"/>
      <c r="H162" s="319"/>
    </row>
    <row r="163" spans="1:8" ht="15" customHeight="1">
      <c r="A163" s="319"/>
      <c r="B163" s="319"/>
      <c r="C163" s="319"/>
      <c r="D163" s="319"/>
      <c r="E163" s="319"/>
      <c r="F163" s="320"/>
      <c r="G163" s="321"/>
      <c r="H163" s="319"/>
    </row>
    <row r="164" spans="1:8" ht="15" customHeight="1">
      <c r="A164" s="322"/>
      <c r="B164" s="322"/>
      <c r="C164" s="322"/>
      <c r="D164" s="322"/>
      <c r="E164" s="322"/>
      <c r="F164" s="323"/>
      <c r="G164" s="324"/>
      <c r="H164" s="322"/>
    </row>
    <row r="165" spans="1:8" ht="15" customHeight="1">
      <c r="A165" s="307"/>
      <c r="B165" s="307"/>
      <c r="C165" s="307"/>
      <c r="D165" s="307"/>
      <c r="E165" s="307"/>
      <c r="F165" s="308"/>
      <c r="G165" s="309"/>
      <c r="H165" s="307"/>
    </row>
    <row r="166" spans="1:8" ht="25.5" customHeight="1">
      <c r="A166" s="51" t="s">
        <v>3</v>
      </c>
      <c r="B166" s="52" t="s">
        <v>4</v>
      </c>
      <c r="C166" s="52" t="s">
        <v>5</v>
      </c>
      <c r="D166" s="52" t="s">
        <v>6</v>
      </c>
      <c r="E166" s="52" t="s">
        <v>7</v>
      </c>
      <c r="F166" s="74" t="s">
        <v>8</v>
      </c>
      <c r="G166" s="90" t="str">
        <f>G158</f>
        <v>COMPENSACIONES</v>
      </c>
      <c r="H166" s="52" t="s">
        <v>10</v>
      </c>
    </row>
    <row r="167" spans="1:8" ht="51" customHeight="1">
      <c r="A167" s="43" t="s">
        <v>109</v>
      </c>
      <c r="B167" s="61" t="s">
        <v>66</v>
      </c>
      <c r="C167" s="44">
        <f>10038*1.04*1.05</f>
        <v>10961.496000000001</v>
      </c>
      <c r="D167" s="44">
        <f>441*1.04*1.05</f>
        <v>481.57200000000006</v>
      </c>
      <c r="E167" s="62"/>
      <c r="F167" s="83"/>
      <c r="G167" s="84"/>
      <c r="H167" s="62">
        <f>C167-D167+E167+G167</f>
        <v>10479.924000000001</v>
      </c>
    </row>
    <row r="168" spans="1:8" ht="51" customHeight="1">
      <c r="A168" s="45" t="s">
        <v>110</v>
      </c>
      <c r="B168" s="35" t="s">
        <v>27</v>
      </c>
      <c r="C168" s="127">
        <f>4641*1.04*1.05+342.03</f>
        <v>5410.0020000000004</v>
      </c>
      <c r="D168" s="127"/>
      <c r="E168" s="18">
        <v>90</v>
      </c>
      <c r="F168" s="19"/>
      <c r="G168" s="85"/>
      <c r="H168" s="18">
        <f>C168-D168+E168+G168</f>
        <v>5500.0020000000004</v>
      </c>
    </row>
    <row r="169" spans="1:8" ht="25.5" customHeight="1">
      <c r="A169" s="48"/>
      <c r="B169" s="38" t="s">
        <v>23</v>
      </c>
      <c r="C169" s="59">
        <f>SUM(C167:C168)</f>
        <v>16371.498000000001</v>
      </c>
      <c r="D169" s="59">
        <f t="shared" ref="D169:H169" si="22">SUM(D167:D168)</f>
        <v>481.57200000000006</v>
      </c>
      <c r="E169" s="59">
        <f t="shared" si="22"/>
        <v>90</v>
      </c>
      <c r="F169" s="93">
        <f t="shared" si="22"/>
        <v>0</v>
      </c>
      <c r="G169" s="94">
        <f t="shared" si="22"/>
        <v>0</v>
      </c>
      <c r="H169" s="59">
        <f t="shared" si="22"/>
        <v>15979.926000000001</v>
      </c>
    </row>
    <row r="170" spans="1:8" s="6" customFormat="1" ht="15" customHeight="1">
      <c r="A170" s="319"/>
      <c r="B170" s="319"/>
      <c r="C170" s="319"/>
      <c r="D170" s="319"/>
      <c r="E170" s="319"/>
      <c r="F170" s="320"/>
      <c r="G170" s="321"/>
      <c r="H170" s="319"/>
    </row>
    <row r="171" spans="1:8" s="6" customFormat="1" ht="15" customHeight="1">
      <c r="A171" s="319"/>
      <c r="B171" s="319"/>
      <c r="C171" s="319"/>
      <c r="D171" s="319"/>
      <c r="E171" s="319"/>
      <c r="F171" s="320"/>
      <c r="G171" s="321"/>
      <c r="H171" s="319"/>
    </row>
    <row r="172" spans="1:8" s="6" customFormat="1" ht="16.5" customHeight="1">
      <c r="A172" s="322"/>
      <c r="B172" s="322"/>
      <c r="C172" s="322"/>
      <c r="D172" s="322"/>
      <c r="E172" s="322"/>
      <c r="F172" s="323"/>
      <c r="G172" s="324"/>
      <c r="H172" s="322"/>
    </row>
    <row r="173" spans="1:8" s="6" customFormat="1" ht="15" customHeight="1">
      <c r="A173" s="307"/>
      <c r="B173" s="307"/>
      <c r="C173" s="307"/>
      <c r="D173" s="307"/>
      <c r="E173" s="307"/>
      <c r="F173" s="308"/>
      <c r="G173" s="309"/>
      <c r="H173" s="307"/>
    </row>
    <row r="174" spans="1:8" s="6" customFormat="1" ht="24.75" customHeight="1">
      <c r="A174" s="51" t="s">
        <v>3</v>
      </c>
      <c r="B174" s="52" t="s">
        <v>4</v>
      </c>
      <c r="C174" s="52" t="s">
        <v>5</v>
      </c>
      <c r="D174" s="52" t="s">
        <v>6</v>
      </c>
      <c r="E174" s="52" t="s">
        <v>7</v>
      </c>
      <c r="F174" s="74" t="s">
        <v>8</v>
      </c>
      <c r="G174" s="90" t="str">
        <f>G166</f>
        <v>COMPENSACIONES</v>
      </c>
      <c r="H174" s="52" t="s">
        <v>10</v>
      </c>
    </row>
    <row r="175" spans="1:8" s="6" customFormat="1" ht="51" customHeight="1">
      <c r="A175" s="43" t="s">
        <v>111</v>
      </c>
      <c r="B175" s="61" t="s">
        <v>59</v>
      </c>
      <c r="C175" s="44">
        <f>7005*1.04*1.05</f>
        <v>7649.46</v>
      </c>
      <c r="D175" s="44">
        <f>157*1.04*1.05</f>
        <v>171.44400000000002</v>
      </c>
      <c r="E175" s="173"/>
      <c r="F175" s="174"/>
      <c r="G175" s="175"/>
      <c r="H175" s="55">
        <f>C175-D175+E175+G175</f>
        <v>7478.0159999999996</v>
      </c>
    </row>
    <row r="176" spans="1:8" ht="25.5" customHeight="1">
      <c r="A176" s="163"/>
      <c r="B176" s="38" t="s">
        <v>23</v>
      </c>
      <c r="C176" s="59">
        <f t="shared" ref="C176:H176" si="23">SUM(C175:C175)</f>
        <v>7649.46</v>
      </c>
      <c r="D176" s="59">
        <f t="shared" si="23"/>
        <v>171.44400000000002</v>
      </c>
      <c r="E176" s="59">
        <f t="shared" si="23"/>
        <v>0</v>
      </c>
      <c r="F176" s="93">
        <f t="shared" si="23"/>
        <v>0</v>
      </c>
      <c r="G176" s="94">
        <f t="shared" si="23"/>
        <v>0</v>
      </c>
      <c r="H176" s="59">
        <f t="shared" si="23"/>
        <v>7478.0159999999996</v>
      </c>
    </row>
    <row r="177" spans="1:8" ht="15" customHeight="1">
      <c r="A177" s="319"/>
      <c r="B177" s="319"/>
      <c r="C177" s="319"/>
      <c r="D177" s="319"/>
      <c r="E177" s="319"/>
      <c r="F177" s="320"/>
      <c r="G177" s="321"/>
      <c r="H177" s="319"/>
    </row>
    <row r="178" spans="1:8" ht="15" customHeight="1">
      <c r="A178" s="319"/>
      <c r="B178" s="319"/>
      <c r="C178" s="319"/>
      <c r="D178" s="319"/>
      <c r="E178" s="319"/>
      <c r="F178" s="320"/>
      <c r="G178" s="321"/>
      <c r="H178" s="319"/>
    </row>
    <row r="179" spans="1:8" ht="15" customHeight="1">
      <c r="A179" s="322"/>
      <c r="B179" s="322"/>
      <c r="C179" s="322"/>
      <c r="D179" s="322"/>
      <c r="E179" s="322"/>
      <c r="F179" s="323"/>
      <c r="G179" s="324"/>
      <c r="H179" s="322"/>
    </row>
    <row r="180" spans="1:8" ht="15" customHeight="1">
      <c r="A180" s="307"/>
      <c r="B180" s="307"/>
      <c r="C180" s="307"/>
      <c r="D180" s="307"/>
      <c r="E180" s="307"/>
      <c r="F180" s="308"/>
      <c r="G180" s="309"/>
      <c r="H180" s="307"/>
    </row>
    <row r="181" spans="1:8" ht="24.75" customHeight="1">
      <c r="A181" s="51" t="s">
        <v>3</v>
      </c>
      <c r="B181" s="52" t="s">
        <v>4</v>
      </c>
      <c r="C181" s="52" t="s">
        <v>5</v>
      </c>
      <c r="D181" s="52" t="s">
        <v>6</v>
      </c>
      <c r="E181" s="52" t="s">
        <v>7</v>
      </c>
      <c r="F181" s="74" t="s">
        <v>8</v>
      </c>
      <c r="G181" s="90" t="str">
        <f>G174</f>
        <v>COMPENSACIONES</v>
      </c>
      <c r="H181" s="52" t="s">
        <v>10</v>
      </c>
    </row>
    <row r="182" spans="1:8" ht="51" customHeight="1">
      <c r="A182" s="164"/>
      <c r="B182" s="69"/>
      <c r="C182" s="55"/>
      <c r="D182" s="55"/>
      <c r="E182" s="55"/>
      <c r="F182" s="91"/>
      <c r="G182" s="92"/>
      <c r="H182" s="55">
        <f>C182-D182</f>
        <v>0</v>
      </c>
    </row>
    <row r="183" spans="1:8" ht="25.5" customHeight="1">
      <c r="A183" s="48"/>
      <c r="B183" s="38" t="s">
        <v>23</v>
      </c>
      <c r="C183" s="59">
        <f>SUM(C182)</f>
        <v>0</v>
      </c>
      <c r="D183" s="59">
        <f t="shared" ref="D183:H183" si="24">SUM(D182)</f>
        <v>0</v>
      </c>
      <c r="E183" s="59">
        <f t="shared" si="24"/>
        <v>0</v>
      </c>
      <c r="F183" s="93">
        <f t="shared" si="24"/>
        <v>0</v>
      </c>
      <c r="G183" s="94">
        <f t="shared" si="24"/>
        <v>0</v>
      </c>
      <c r="H183" s="59">
        <f t="shared" si="24"/>
        <v>0</v>
      </c>
    </row>
    <row r="184" spans="1:8" ht="15" customHeight="1">
      <c r="A184" s="319"/>
      <c r="B184" s="319"/>
      <c r="C184" s="319"/>
      <c r="D184" s="319"/>
      <c r="E184" s="319"/>
      <c r="F184" s="320"/>
      <c r="G184" s="321"/>
      <c r="H184" s="319"/>
    </row>
    <row r="185" spans="1:8" ht="15" customHeight="1">
      <c r="A185" s="319"/>
      <c r="B185" s="319"/>
      <c r="C185" s="319"/>
      <c r="D185" s="319"/>
      <c r="E185" s="319"/>
      <c r="F185" s="320"/>
      <c r="G185" s="321"/>
      <c r="H185" s="319"/>
    </row>
    <row r="186" spans="1:8" ht="15" customHeight="1">
      <c r="A186" s="322"/>
      <c r="B186" s="322"/>
      <c r="C186" s="322"/>
      <c r="D186" s="322"/>
      <c r="E186" s="322"/>
      <c r="F186" s="323"/>
      <c r="G186" s="324"/>
      <c r="H186" s="322"/>
    </row>
    <row r="187" spans="1:8" ht="15" customHeight="1">
      <c r="A187" s="307"/>
      <c r="B187" s="307"/>
      <c r="C187" s="307"/>
      <c r="D187" s="307"/>
      <c r="E187" s="307"/>
      <c r="F187" s="308"/>
      <c r="G187" s="309"/>
      <c r="H187" s="307"/>
    </row>
    <row r="188" spans="1:8" ht="24.75" customHeight="1">
      <c r="A188" s="51" t="s">
        <v>3</v>
      </c>
      <c r="B188" s="52" t="s">
        <v>4</v>
      </c>
      <c r="C188" s="52" t="s">
        <v>5</v>
      </c>
      <c r="D188" s="52" t="s">
        <v>6</v>
      </c>
      <c r="E188" s="52" t="s">
        <v>7</v>
      </c>
      <c r="F188" s="74" t="s">
        <v>8</v>
      </c>
      <c r="G188" s="90" t="str">
        <f>G174</f>
        <v>COMPENSACIONES</v>
      </c>
      <c r="H188" s="52" t="s">
        <v>10</v>
      </c>
    </row>
    <row r="189" spans="1:8" ht="40.5" customHeight="1">
      <c r="A189" s="43" t="s">
        <v>112</v>
      </c>
      <c r="B189" s="161" t="s">
        <v>68</v>
      </c>
      <c r="C189" s="44">
        <f>10038*1.04*1.05</f>
        <v>10961.496000000001</v>
      </c>
      <c r="D189" s="44">
        <f>441*1.04*1.05</f>
        <v>481.57200000000006</v>
      </c>
      <c r="E189" s="55"/>
      <c r="F189" s="91"/>
      <c r="G189" s="92"/>
      <c r="H189" s="55">
        <f>C189-D189+E189+G189</f>
        <v>10479.924000000001</v>
      </c>
    </row>
    <row r="190" spans="1:8" ht="39.950000000000003" customHeight="1">
      <c r="A190" s="45" t="s">
        <v>113</v>
      </c>
      <c r="B190" s="34" t="s">
        <v>33</v>
      </c>
      <c r="C190" s="22">
        <f>6961*1.04*1.05</f>
        <v>7601.4120000000012</v>
      </c>
      <c r="D190" s="176">
        <f>362*1.04*1.05</f>
        <v>395.30400000000003</v>
      </c>
      <c r="E190" s="177"/>
      <c r="F190" s="178"/>
      <c r="G190" s="179"/>
      <c r="H190" s="20">
        <f>C190-D190+E190+G190</f>
        <v>7206.1080000000011</v>
      </c>
    </row>
    <row r="191" spans="1:8" ht="39.950000000000003" customHeight="1">
      <c r="A191" s="45" t="s">
        <v>114</v>
      </c>
      <c r="B191" s="34" t="s">
        <v>33</v>
      </c>
      <c r="C191" s="22">
        <f>5043*1.04*1.05</f>
        <v>5506.9560000000001</v>
      </c>
      <c r="D191" s="176"/>
      <c r="E191" s="177">
        <v>90</v>
      </c>
      <c r="F191" s="178"/>
      <c r="G191" s="179"/>
      <c r="H191" s="20">
        <f t="shared" ref="H191:H193" si="25">C191-D191+E191+G191</f>
        <v>5596.9560000000001</v>
      </c>
    </row>
    <row r="192" spans="1:8" ht="39.950000000000003" customHeight="1">
      <c r="A192" s="45" t="s">
        <v>115</v>
      </c>
      <c r="B192" s="35" t="s">
        <v>116</v>
      </c>
      <c r="C192" s="22">
        <f>10291*1.04*1.05</f>
        <v>11237.772000000003</v>
      </c>
      <c r="D192" s="180">
        <f>441*1.04*1.05</f>
        <v>481.57200000000006</v>
      </c>
      <c r="E192" s="181"/>
      <c r="F192" s="182"/>
      <c r="G192" s="179"/>
      <c r="H192" s="20">
        <f t="shared" si="25"/>
        <v>10756.200000000003</v>
      </c>
    </row>
    <row r="193" spans="1:8" ht="50.25" customHeight="1">
      <c r="A193" s="45" t="s">
        <v>117</v>
      </c>
      <c r="B193" s="35" t="s">
        <v>116</v>
      </c>
      <c r="C193" s="22">
        <f>6603*1.04*1.05</f>
        <v>7210.4760000000006</v>
      </c>
      <c r="D193" s="180">
        <f>132*1.04*1.05</f>
        <v>144.14400000000001</v>
      </c>
      <c r="E193" s="181"/>
      <c r="F193" s="182"/>
      <c r="G193" s="179"/>
      <c r="H193" s="20">
        <f t="shared" si="25"/>
        <v>7066.3320000000003</v>
      </c>
    </row>
    <row r="194" spans="1:8" ht="45">
      <c r="A194" s="58"/>
      <c r="B194" s="71" t="s">
        <v>51</v>
      </c>
      <c r="C194" s="59">
        <f>SUM(C189:C193)</f>
        <v>42518.112000000008</v>
      </c>
      <c r="D194" s="59">
        <f t="shared" ref="D194:H194" si="26">SUM(D189:D193)</f>
        <v>1502.5920000000001</v>
      </c>
      <c r="E194" s="59">
        <f t="shared" si="26"/>
        <v>90</v>
      </c>
      <c r="F194" s="93">
        <f t="shared" si="26"/>
        <v>0</v>
      </c>
      <c r="G194" s="94">
        <f t="shared" si="26"/>
        <v>0</v>
      </c>
      <c r="H194" s="59">
        <f t="shared" si="26"/>
        <v>41105.520000000011</v>
      </c>
    </row>
    <row r="195" spans="1:8" ht="15" customHeight="1">
      <c r="A195" s="12"/>
      <c r="B195" s="12" t="s">
        <v>118</v>
      </c>
      <c r="C195" s="12"/>
      <c r="D195" s="12"/>
      <c r="E195" s="12"/>
      <c r="F195" s="7"/>
      <c r="G195" s="200"/>
      <c r="H195" s="12"/>
    </row>
    <row r="196" spans="1:8" ht="24.75" customHeight="1">
      <c r="A196" s="51" t="s">
        <v>3</v>
      </c>
      <c r="B196" s="52" t="s">
        <v>4</v>
      </c>
      <c r="C196" s="52" t="s">
        <v>5</v>
      </c>
      <c r="D196" s="52" t="s">
        <v>6</v>
      </c>
      <c r="E196" s="52" t="s">
        <v>7</v>
      </c>
      <c r="F196" s="74" t="s">
        <v>8</v>
      </c>
      <c r="G196" s="90" t="str">
        <f>G188</f>
        <v>COMPENSACIONES</v>
      </c>
      <c r="H196" s="52" t="s">
        <v>10</v>
      </c>
    </row>
    <row r="197" spans="1:8" ht="39.950000000000003" customHeight="1">
      <c r="A197" s="43" t="s">
        <v>119</v>
      </c>
      <c r="B197" s="183" t="s">
        <v>120</v>
      </c>
      <c r="C197" s="62">
        <f>8000*1.05*1.05</f>
        <v>8820</v>
      </c>
      <c r="D197" s="62">
        <f>367*1.05*1.05</f>
        <v>404.61750000000006</v>
      </c>
      <c r="E197" s="201"/>
      <c r="F197" s="202"/>
      <c r="G197" s="203"/>
      <c r="H197" s="110">
        <f t="shared" ref="H197:H206" si="27">C197-D197+E197+F197+G197</f>
        <v>8415.3824999999997</v>
      </c>
    </row>
    <row r="198" spans="1:8" ht="44.25" customHeight="1">
      <c r="A198" s="184" t="s">
        <v>121</v>
      </c>
      <c r="B198" s="185" t="s">
        <v>122</v>
      </c>
      <c r="C198" s="13">
        <f>6019*1.05*1.05</f>
        <v>6635.9475000000002</v>
      </c>
      <c r="D198" s="13">
        <f>183*1.05*1.05</f>
        <v>201.75750000000002</v>
      </c>
      <c r="E198" s="20"/>
      <c r="F198" s="21"/>
      <c r="G198" s="179"/>
      <c r="H198" s="204">
        <f t="shared" si="27"/>
        <v>6434.1900000000005</v>
      </c>
    </row>
    <row r="199" spans="1:8" ht="44.25" customHeight="1">
      <c r="A199" s="45" t="s">
        <v>123</v>
      </c>
      <c r="B199" s="185" t="s">
        <v>124</v>
      </c>
      <c r="C199" s="13">
        <f>7215*1.05*1.05</f>
        <v>7954.5375000000004</v>
      </c>
      <c r="D199" s="13">
        <f>231*1.05</f>
        <v>242.55</v>
      </c>
      <c r="E199" s="20"/>
      <c r="F199" s="21"/>
      <c r="G199" s="179"/>
      <c r="H199" s="204">
        <f t="shared" si="27"/>
        <v>7711.9875000000002</v>
      </c>
    </row>
    <row r="200" spans="1:8" ht="42.75" customHeight="1">
      <c r="A200" s="45" t="s">
        <v>125</v>
      </c>
      <c r="B200" s="185" t="s">
        <v>124</v>
      </c>
      <c r="C200" s="13">
        <f>6432*1.05*1.05</f>
        <v>7091.2800000000007</v>
      </c>
      <c r="D200" s="13">
        <f>183*1.05*1.05</f>
        <v>201.75750000000002</v>
      </c>
      <c r="E200" s="20"/>
      <c r="F200" s="21"/>
      <c r="G200" s="179"/>
      <c r="H200" s="204">
        <f t="shared" si="27"/>
        <v>6889.5225000000009</v>
      </c>
    </row>
    <row r="201" spans="1:8" ht="47.25" customHeight="1">
      <c r="A201" s="45" t="s">
        <v>126</v>
      </c>
      <c r="B201" s="185" t="s">
        <v>124</v>
      </c>
      <c r="C201" s="13">
        <f>5677*1.05*1.05</f>
        <v>6258.8925000000008</v>
      </c>
      <c r="D201" s="13">
        <f>157*1.05*1.05</f>
        <v>173.0925</v>
      </c>
      <c r="E201" s="20"/>
      <c r="F201" s="21"/>
      <c r="G201" s="179"/>
      <c r="H201" s="204">
        <f t="shared" si="27"/>
        <v>6085.8000000000011</v>
      </c>
    </row>
    <row r="202" spans="1:8" ht="47.25" customHeight="1">
      <c r="A202" s="45" t="s">
        <v>127</v>
      </c>
      <c r="B202" s="185" t="s">
        <v>124</v>
      </c>
      <c r="C202" s="13">
        <f>5677*1.05*1.05</f>
        <v>6258.8925000000008</v>
      </c>
      <c r="D202" s="13">
        <f>157*1.05*1.05</f>
        <v>173.0925</v>
      </c>
      <c r="E202" s="20"/>
      <c r="F202" s="21"/>
      <c r="G202" s="179"/>
      <c r="H202" s="204">
        <f t="shared" si="27"/>
        <v>6085.8000000000011</v>
      </c>
    </row>
    <row r="203" spans="1:8" ht="44.25" customHeight="1">
      <c r="A203" s="45" t="s">
        <v>128</v>
      </c>
      <c r="B203" s="185" t="s">
        <v>129</v>
      </c>
      <c r="C203" s="13">
        <f>5145*1.05*1.05</f>
        <v>5672.3625000000002</v>
      </c>
      <c r="D203" s="13">
        <f>157*1.05*1.05</f>
        <v>173.0925</v>
      </c>
      <c r="E203" s="20"/>
      <c r="F203" s="21"/>
      <c r="G203" s="179"/>
      <c r="H203" s="204">
        <f t="shared" si="27"/>
        <v>5499.27</v>
      </c>
    </row>
    <row r="204" spans="1:8" ht="44.25" customHeight="1">
      <c r="A204" s="45" t="s">
        <v>130</v>
      </c>
      <c r="B204" s="185" t="s">
        <v>124</v>
      </c>
      <c r="C204" s="13">
        <f>5145*1.05*1.05</f>
        <v>5672.3625000000002</v>
      </c>
      <c r="D204" s="13">
        <f>157*1.05*1.05</f>
        <v>173.0925</v>
      </c>
      <c r="E204" s="20"/>
      <c r="F204" s="21"/>
      <c r="G204" s="179"/>
      <c r="H204" s="204">
        <f t="shared" si="27"/>
        <v>5499.27</v>
      </c>
    </row>
    <row r="205" spans="1:8" ht="44.25" customHeight="1">
      <c r="A205" s="45" t="s">
        <v>131</v>
      </c>
      <c r="B205" s="185" t="s">
        <v>124</v>
      </c>
      <c r="C205" s="13">
        <f>5050*1.05*1.05</f>
        <v>5567.625</v>
      </c>
      <c r="D205" s="13">
        <f>140*1.05*1.05</f>
        <v>154.35</v>
      </c>
      <c r="E205" s="20"/>
      <c r="F205" s="21"/>
      <c r="G205" s="179"/>
      <c r="H205" s="204">
        <f t="shared" si="27"/>
        <v>5413.2749999999996</v>
      </c>
    </row>
    <row r="206" spans="1:8" ht="51" customHeight="1">
      <c r="A206" s="33" t="s">
        <v>132</v>
      </c>
      <c r="B206" s="125" t="s">
        <v>133</v>
      </c>
      <c r="C206" s="13">
        <f>5545*1.05*1.05</f>
        <v>6113.3625000000002</v>
      </c>
      <c r="D206" s="13">
        <f>103.95*1.05</f>
        <v>109.14750000000001</v>
      </c>
      <c r="E206" s="20"/>
      <c r="F206" s="21">
        <v>126</v>
      </c>
      <c r="G206" s="179"/>
      <c r="H206" s="204">
        <f t="shared" si="27"/>
        <v>6130.2150000000001</v>
      </c>
    </row>
    <row r="207" spans="1:8" ht="29.25" customHeight="1">
      <c r="A207" s="58"/>
      <c r="B207" s="187" t="s">
        <v>51</v>
      </c>
      <c r="C207" s="188">
        <f t="shared" ref="C207:H207" si="28">SUM(C197:C206)</f>
        <v>66045.262500000012</v>
      </c>
      <c r="D207" s="188">
        <f t="shared" si="28"/>
        <v>2006.55</v>
      </c>
      <c r="E207" s="188">
        <f t="shared" si="28"/>
        <v>0</v>
      </c>
      <c r="F207" s="205">
        <f t="shared" si="28"/>
        <v>126</v>
      </c>
      <c r="G207" s="206">
        <f t="shared" si="28"/>
        <v>0</v>
      </c>
      <c r="H207" s="188">
        <f t="shared" si="28"/>
        <v>64164.712500000023</v>
      </c>
    </row>
    <row r="208" spans="1:8" ht="25.5" customHeight="1">
      <c r="A208" s="189"/>
      <c r="B208" s="38" t="s">
        <v>23</v>
      </c>
      <c r="C208" s="154">
        <f t="shared" ref="C208:H208" si="29">SUM(C194+C207)</f>
        <v>108563.37450000002</v>
      </c>
      <c r="D208" s="154">
        <f t="shared" si="29"/>
        <v>3509.1419999999998</v>
      </c>
      <c r="E208" s="154">
        <f t="shared" si="29"/>
        <v>90</v>
      </c>
      <c r="F208" s="165">
        <f t="shared" si="29"/>
        <v>126</v>
      </c>
      <c r="G208" s="166">
        <f t="shared" si="29"/>
        <v>0</v>
      </c>
      <c r="H208" s="154">
        <f t="shared" si="29"/>
        <v>105270.23250000004</v>
      </c>
    </row>
    <row r="209" spans="1:8" ht="15" customHeight="1">
      <c r="A209" s="319"/>
      <c r="B209" s="319"/>
      <c r="C209" s="319"/>
      <c r="D209" s="319"/>
      <c r="E209" s="319"/>
      <c r="F209" s="320"/>
      <c r="G209" s="321"/>
      <c r="H209" s="319"/>
    </row>
    <row r="210" spans="1:8" ht="15" customHeight="1">
      <c r="A210" s="319"/>
      <c r="B210" s="319"/>
      <c r="C210" s="319"/>
      <c r="D210" s="319"/>
      <c r="E210" s="319"/>
      <c r="F210" s="320"/>
      <c r="G210" s="321"/>
      <c r="H210" s="319"/>
    </row>
    <row r="211" spans="1:8" ht="15" customHeight="1">
      <c r="A211" s="322"/>
      <c r="B211" s="322"/>
      <c r="C211" s="322"/>
      <c r="D211" s="322"/>
      <c r="E211" s="322"/>
      <c r="F211" s="323"/>
      <c r="G211" s="324"/>
      <c r="H211" s="322"/>
    </row>
    <row r="212" spans="1:8" ht="15" customHeight="1">
      <c r="A212" s="307"/>
      <c r="B212" s="307"/>
      <c r="C212" s="307"/>
      <c r="D212" s="307"/>
      <c r="E212" s="307"/>
      <c r="F212" s="308"/>
      <c r="G212" s="309"/>
      <c r="H212" s="307"/>
    </row>
    <row r="213" spans="1:8" ht="24.75" customHeight="1">
      <c r="A213" s="51" t="s">
        <v>3</v>
      </c>
      <c r="B213" s="52" t="s">
        <v>4</v>
      </c>
      <c r="C213" s="52" t="s">
        <v>5</v>
      </c>
      <c r="D213" s="52" t="s">
        <v>6</v>
      </c>
      <c r="E213" s="52" t="s">
        <v>7</v>
      </c>
      <c r="F213" s="74" t="s">
        <v>8</v>
      </c>
      <c r="G213" s="90" t="str">
        <f>G196</f>
        <v>COMPENSACIONES</v>
      </c>
      <c r="H213" s="52" t="s">
        <v>10</v>
      </c>
    </row>
    <row r="214" spans="1:8" ht="40.5" customHeight="1">
      <c r="A214" s="43" t="s">
        <v>134</v>
      </c>
      <c r="B214" s="69" t="s">
        <v>66</v>
      </c>
      <c r="C214" s="44">
        <f>10038*1.04*1.05</f>
        <v>10961.496000000001</v>
      </c>
      <c r="D214" s="44">
        <f>441*1.04*1.05</f>
        <v>481.57200000000006</v>
      </c>
      <c r="E214" s="62"/>
      <c r="F214" s="83"/>
      <c r="G214" s="84"/>
      <c r="H214" s="62">
        <f>C214-D214+E214+G214</f>
        <v>10479.924000000001</v>
      </c>
    </row>
    <row r="215" spans="1:8" ht="40.5" customHeight="1">
      <c r="A215" s="33" t="s">
        <v>135</v>
      </c>
      <c r="B215" s="186" t="s">
        <v>136</v>
      </c>
      <c r="C215" s="190">
        <f>3800*1.05</f>
        <v>3990</v>
      </c>
      <c r="D215" s="190"/>
      <c r="E215" s="207"/>
      <c r="F215" s="86"/>
      <c r="G215" s="87"/>
      <c r="H215" s="207">
        <f>C215+G215</f>
        <v>3990</v>
      </c>
    </row>
    <row r="217" spans="1:8" ht="25.5" customHeight="1">
      <c r="A217" s="48"/>
      <c r="B217" s="38" t="s">
        <v>23</v>
      </c>
      <c r="C217" s="49">
        <f>SUM(C214:C216)</f>
        <v>14951.496000000001</v>
      </c>
      <c r="D217" s="49">
        <f t="shared" ref="D217:H217" si="30">SUM(D214:D216)</f>
        <v>481.57200000000006</v>
      </c>
      <c r="E217" s="49">
        <f t="shared" si="30"/>
        <v>0</v>
      </c>
      <c r="F217" s="88">
        <f t="shared" si="30"/>
        <v>0</v>
      </c>
      <c r="G217" s="89">
        <f t="shared" si="30"/>
        <v>0</v>
      </c>
      <c r="H217" s="49">
        <f t="shared" si="30"/>
        <v>14469.924000000001</v>
      </c>
    </row>
    <row r="218" spans="1:8" ht="15" customHeight="1">
      <c r="A218" s="2"/>
      <c r="B218" s="2"/>
      <c r="C218" s="2"/>
      <c r="D218" s="2"/>
      <c r="E218" s="2"/>
      <c r="F218" s="11"/>
      <c r="G218" s="208"/>
      <c r="H218" s="2"/>
    </row>
    <row r="219" spans="1:8" ht="15" customHeight="1">
      <c r="A219" s="2"/>
      <c r="B219" s="2" t="str">
        <f>A2</f>
        <v>ADMINISTRACIÓN 2021-2024</v>
      </c>
      <c r="C219" s="2"/>
      <c r="D219" s="2"/>
      <c r="E219" s="2"/>
      <c r="F219" s="11"/>
      <c r="G219" s="208"/>
      <c r="H219" s="2"/>
    </row>
    <row r="220" spans="1:8" ht="15" customHeight="1">
      <c r="A220" s="2"/>
      <c r="B220" s="2" t="str">
        <f>A3</f>
        <v>Nómina que corresponde a la 2DA  (SEGUNDA    ) quincena del mes de MAYO de 2023.</v>
      </c>
      <c r="C220" s="2"/>
      <c r="D220" s="2"/>
      <c r="E220" s="2"/>
      <c r="F220" s="11"/>
      <c r="G220" s="208"/>
      <c r="H220" s="2"/>
    </row>
    <row r="221" spans="1:8" ht="15" customHeight="1">
      <c r="A221" s="17"/>
      <c r="B221" s="17" t="s">
        <v>137</v>
      </c>
      <c r="C221" s="17"/>
      <c r="D221" s="17"/>
      <c r="E221" s="17"/>
      <c r="F221" s="23"/>
      <c r="G221" s="209"/>
      <c r="H221" s="17"/>
    </row>
    <row r="222" spans="1:8" ht="24" customHeight="1">
      <c r="A222" s="51" t="s">
        <v>3</v>
      </c>
      <c r="B222" s="52" t="s">
        <v>4</v>
      </c>
      <c r="C222" s="52" t="s">
        <v>5</v>
      </c>
      <c r="D222" s="52" t="s">
        <v>6</v>
      </c>
      <c r="E222" s="52" t="s">
        <v>7</v>
      </c>
      <c r="F222" s="74" t="s">
        <v>8</v>
      </c>
      <c r="G222" s="90" t="str">
        <f>G213</f>
        <v>COMPENSACIONES</v>
      </c>
      <c r="H222" s="52" t="s">
        <v>10</v>
      </c>
    </row>
    <row r="223" spans="1:8" ht="42.95" customHeight="1">
      <c r="A223" s="43" t="s">
        <v>138</v>
      </c>
      <c r="B223" s="69" t="s">
        <v>68</v>
      </c>
      <c r="C223" s="44">
        <f>10038*1.04*1.05</f>
        <v>10961.496000000001</v>
      </c>
      <c r="D223" s="44">
        <f>441*1.04*1.05</f>
        <v>481.57200000000006</v>
      </c>
      <c r="E223" s="62"/>
      <c r="F223" s="210"/>
      <c r="G223" s="211"/>
      <c r="H223" s="62">
        <f t="shared" ref="H223:H229" si="31">C223-D223+E223+F223+G223</f>
        <v>10479.924000000001</v>
      </c>
    </row>
    <row r="224" spans="1:8" ht="45" customHeight="1">
      <c r="A224" s="33" t="s">
        <v>139</v>
      </c>
      <c r="B224" s="191" t="s">
        <v>140</v>
      </c>
      <c r="C224" s="192">
        <f>4668*1.05*1.05</f>
        <v>5146.4700000000012</v>
      </c>
      <c r="D224" s="212"/>
      <c r="E224" s="20">
        <v>90</v>
      </c>
      <c r="F224" s="21"/>
      <c r="G224" s="85"/>
      <c r="H224" s="18">
        <f t="shared" si="31"/>
        <v>5236.4700000000012</v>
      </c>
    </row>
    <row r="225" spans="1:8" ht="50.1" customHeight="1">
      <c r="A225" s="33" t="s">
        <v>141</v>
      </c>
      <c r="B225" s="191" t="s">
        <v>142</v>
      </c>
      <c r="C225" s="193">
        <f>5429*1.05*1.05</f>
        <v>5985.4724999999999</v>
      </c>
      <c r="D225" s="213"/>
      <c r="E225" s="20">
        <v>90</v>
      </c>
      <c r="F225" s="21"/>
      <c r="G225" s="85"/>
      <c r="H225" s="18">
        <f t="shared" si="31"/>
        <v>6075.4724999999999</v>
      </c>
    </row>
    <row r="226" spans="1:8" ht="54" customHeight="1">
      <c r="A226" s="33" t="s">
        <v>143</v>
      </c>
      <c r="B226" s="57" t="s">
        <v>144</v>
      </c>
      <c r="C226" s="192">
        <f t="shared" ref="C226:C230" si="32">4075*1.05*1.05</f>
        <v>4492.6875</v>
      </c>
      <c r="D226" s="213"/>
      <c r="E226" s="20">
        <v>150</v>
      </c>
      <c r="F226" s="21"/>
      <c r="G226" s="85"/>
      <c r="H226" s="18">
        <f t="shared" si="31"/>
        <v>4642.6875</v>
      </c>
    </row>
    <row r="227" spans="1:8" ht="45" customHeight="1">
      <c r="A227" s="33" t="s">
        <v>145</v>
      </c>
      <c r="B227" s="191" t="s">
        <v>146</v>
      </c>
      <c r="C227" s="192">
        <f t="shared" si="32"/>
        <v>4492.6875</v>
      </c>
      <c r="D227" s="214"/>
      <c r="E227" s="20">
        <v>150</v>
      </c>
      <c r="F227" s="21"/>
      <c r="G227" s="85"/>
      <c r="H227" s="18">
        <f t="shared" si="31"/>
        <v>4642.6875</v>
      </c>
    </row>
    <row r="228" spans="1:8" ht="48.95" customHeight="1">
      <c r="A228" s="194" t="s">
        <v>147</v>
      </c>
      <c r="B228" s="57" t="s">
        <v>148</v>
      </c>
      <c r="C228" s="192">
        <f>'[6]MADRE BANCO'!$G$160</f>
        <v>4492.6875</v>
      </c>
      <c r="D228" s="213"/>
      <c r="E228" s="20">
        <v>142</v>
      </c>
      <c r="F228" s="21"/>
      <c r="G228" s="85"/>
      <c r="H228" s="18">
        <f t="shared" si="31"/>
        <v>4634.6875</v>
      </c>
    </row>
    <row r="229" spans="1:8" ht="45" customHeight="1">
      <c r="A229" s="33" t="s">
        <v>149</v>
      </c>
      <c r="B229" s="57" t="s">
        <v>150</v>
      </c>
      <c r="C229" s="192">
        <f t="shared" si="32"/>
        <v>4492.6875</v>
      </c>
      <c r="D229" s="192"/>
      <c r="E229" s="215">
        <v>142</v>
      </c>
      <c r="F229" s="21"/>
      <c r="G229" s="85"/>
      <c r="H229" s="18">
        <f t="shared" si="31"/>
        <v>4634.6875</v>
      </c>
    </row>
    <row r="230" spans="1:8" ht="45" customHeight="1">
      <c r="A230" s="194" t="s">
        <v>151</v>
      </c>
      <c r="B230" s="57" t="s">
        <v>150</v>
      </c>
      <c r="C230" s="192">
        <f t="shared" si="32"/>
        <v>4492.6875</v>
      </c>
      <c r="D230" s="151"/>
      <c r="E230" s="151">
        <v>142</v>
      </c>
      <c r="F230" s="19"/>
      <c r="G230" s="85"/>
      <c r="H230" s="22">
        <f>C230-D230+E230+G230</f>
        <v>4634.6875</v>
      </c>
    </row>
    <row r="231" spans="1:8" ht="45" customHeight="1">
      <c r="A231" s="195" t="s">
        <v>152</v>
      </c>
      <c r="B231" s="57" t="s">
        <v>150</v>
      </c>
      <c r="C231" s="192">
        <f>'[7]MADRE BANCO'!$G$165</f>
        <v>4492.6875</v>
      </c>
      <c r="D231" s="151"/>
      <c r="E231" s="151">
        <v>142</v>
      </c>
      <c r="F231" s="19"/>
      <c r="G231" s="85"/>
      <c r="H231" s="22">
        <f>C231-D231+E231+G231</f>
        <v>4634.6875</v>
      </c>
    </row>
    <row r="232" spans="1:8" ht="51.95" customHeight="1">
      <c r="A232" s="33" t="s">
        <v>153</v>
      </c>
      <c r="B232" s="57" t="s">
        <v>150</v>
      </c>
      <c r="C232" s="151">
        <f>3885*1.05*1.05</f>
        <v>4283.2125000000005</v>
      </c>
      <c r="D232" s="151"/>
      <c r="E232" s="20">
        <v>142</v>
      </c>
      <c r="F232" s="21"/>
      <c r="G232" s="85"/>
      <c r="H232" s="18">
        <f>C232-D232+E232+F232+G232</f>
        <v>4425.2125000000005</v>
      </c>
    </row>
    <row r="233" spans="1:8" ht="59.1" customHeight="1">
      <c r="A233" s="33" t="s">
        <v>154</v>
      </c>
      <c r="B233" s="57" t="s">
        <v>150</v>
      </c>
      <c r="C233" s="151">
        <f>3885*1.05*1.05</f>
        <v>4283.2125000000005</v>
      </c>
      <c r="D233" s="151"/>
      <c r="E233" s="20">
        <v>142</v>
      </c>
      <c r="F233" s="21"/>
      <c r="G233" s="85"/>
      <c r="H233" s="18">
        <f>C233-D233+E233+F233+G233</f>
        <v>4425.2125000000005</v>
      </c>
    </row>
    <row r="234" spans="1:8" ht="54.95" customHeight="1">
      <c r="A234" s="33" t="s">
        <v>155</v>
      </c>
      <c r="B234" s="57" t="s">
        <v>150</v>
      </c>
      <c r="C234" s="151">
        <f>3885*1.05*1.05</f>
        <v>4283.2125000000005</v>
      </c>
      <c r="D234" s="151"/>
      <c r="E234" s="20">
        <v>142</v>
      </c>
      <c r="F234" s="21"/>
      <c r="G234" s="85"/>
      <c r="H234" s="18">
        <f>C234-D234+E234+F234+G234</f>
        <v>4425.2125000000005</v>
      </c>
    </row>
    <row r="235" spans="1:8" ht="51" customHeight="1">
      <c r="A235" s="33" t="s">
        <v>156</v>
      </c>
      <c r="B235" s="57" t="s">
        <v>150</v>
      </c>
      <c r="C235" s="151">
        <f>3885*1.05*1.05</f>
        <v>4283.2125000000005</v>
      </c>
      <c r="D235" s="151"/>
      <c r="E235" s="20">
        <v>142</v>
      </c>
      <c r="F235" s="21"/>
      <c r="G235" s="85"/>
      <c r="H235" s="18">
        <f>C235-D235+E235+F235+G235</f>
        <v>4425.2125000000005</v>
      </c>
    </row>
    <row r="236" spans="1:8" ht="51" customHeight="1">
      <c r="A236" s="8" t="s">
        <v>157</v>
      </c>
      <c r="B236" s="57" t="s">
        <v>150</v>
      </c>
      <c r="C236" s="151">
        <f>3885*1.05*1.05</f>
        <v>4283.2125000000005</v>
      </c>
      <c r="D236" s="151"/>
      <c r="E236" s="20">
        <v>142</v>
      </c>
      <c r="F236" s="21"/>
      <c r="G236" s="85"/>
      <c r="H236" s="18">
        <f>C236-D236+E236+F236+G236</f>
        <v>4425.2125000000005</v>
      </c>
    </row>
    <row r="237" spans="1:8" ht="51" customHeight="1">
      <c r="A237" s="8" t="s">
        <v>158</v>
      </c>
      <c r="B237" s="63" t="s">
        <v>159</v>
      </c>
      <c r="C237" s="151">
        <f>5822.25*1.05</f>
        <v>6113.3625000000002</v>
      </c>
      <c r="D237" s="151">
        <f>103.95*1.05</f>
        <v>109.14750000000001</v>
      </c>
      <c r="E237" s="151"/>
      <c r="F237" s="19">
        <v>126</v>
      </c>
      <c r="G237" s="85"/>
      <c r="H237" s="22">
        <f>C237-D237+F237+G237</f>
        <v>6130.2150000000001</v>
      </c>
    </row>
    <row r="238" spans="1:8" ht="51" customHeight="1">
      <c r="A238" s="8" t="s">
        <v>160</v>
      </c>
      <c r="B238" s="57" t="s">
        <v>150</v>
      </c>
      <c r="C238" s="22">
        <f>3885*1.05*1.05</f>
        <v>4283.2125000000005</v>
      </c>
      <c r="D238" s="151"/>
      <c r="E238" s="20">
        <v>142</v>
      </c>
      <c r="F238" s="21"/>
      <c r="G238" s="85"/>
      <c r="H238" s="18">
        <f>C238-D238+E238+F238+G238</f>
        <v>4425.2125000000005</v>
      </c>
    </row>
    <row r="239" spans="1:8" ht="25.5" customHeight="1">
      <c r="A239" s="196"/>
      <c r="B239" s="197" t="s">
        <v>23</v>
      </c>
      <c r="C239" s="198">
        <f>SUM(C223:C238)</f>
        <v>80862.201000000001</v>
      </c>
      <c r="D239" s="198">
        <f t="shared" ref="D239:H239" si="33">SUM(D223:D238)</f>
        <v>590.71950000000004</v>
      </c>
      <c r="E239" s="198">
        <f t="shared" si="33"/>
        <v>1900</v>
      </c>
      <c r="F239" s="216">
        <f t="shared" si="33"/>
        <v>126</v>
      </c>
      <c r="G239" s="217">
        <f t="shared" si="33"/>
        <v>0</v>
      </c>
      <c r="H239" s="198">
        <f t="shared" si="33"/>
        <v>82297.481499999994</v>
      </c>
    </row>
    <row r="240" spans="1:8" ht="15" customHeight="1">
      <c r="A240" s="319"/>
      <c r="B240" s="319"/>
      <c r="C240" s="319"/>
      <c r="D240" s="319"/>
      <c r="E240" s="319"/>
      <c r="F240" s="320"/>
      <c r="G240" s="321"/>
      <c r="H240" s="319"/>
    </row>
    <row r="241" spans="1:8" ht="15" customHeight="1">
      <c r="A241" s="319"/>
      <c r="B241" s="319"/>
      <c r="C241" s="319"/>
      <c r="D241" s="319"/>
      <c r="E241" s="319"/>
      <c r="F241" s="320"/>
      <c r="G241" s="321"/>
      <c r="H241" s="319"/>
    </row>
    <row r="242" spans="1:8" ht="15" customHeight="1">
      <c r="A242" s="322"/>
      <c r="B242" s="322"/>
      <c r="C242" s="322"/>
      <c r="D242" s="322"/>
      <c r="E242" s="322"/>
      <c r="F242" s="323"/>
      <c r="G242" s="324"/>
      <c r="H242" s="322"/>
    </row>
    <row r="243" spans="1:8" ht="15" customHeight="1">
      <c r="A243" s="307"/>
      <c r="B243" s="307"/>
      <c r="C243" s="307"/>
      <c r="D243" s="307"/>
      <c r="E243" s="307"/>
      <c r="F243" s="308"/>
      <c r="G243" s="309"/>
      <c r="H243" s="307"/>
    </row>
    <row r="244" spans="1:8" ht="24.75" customHeight="1">
      <c r="A244" s="51" t="s">
        <v>3</v>
      </c>
      <c r="B244" s="52" t="s">
        <v>4</v>
      </c>
      <c r="C244" s="52" t="s">
        <v>5</v>
      </c>
      <c r="D244" s="52" t="s">
        <v>6</v>
      </c>
      <c r="E244" s="52" t="s">
        <v>7</v>
      </c>
      <c r="F244" s="74" t="s">
        <v>8</v>
      </c>
      <c r="G244" s="90" t="str">
        <f>G222</f>
        <v>COMPENSACIONES</v>
      </c>
      <c r="H244" s="52" t="s">
        <v>10</v>
      </c>
    </row>
    <row r="245" spans="1:8" ht="51" customHeight="1">
      <c r="A245" s="43" t="s">
        <v>161</v>
      </c>
      <c r="B245" s="61" t="s">
        <v>59</v>
      </c>
      <c r="C245" s="44">
        <f>7020*1.04*1.05</f>
        <v>7665.84</v>
      </c>
      <c r="D245" s="44">
        <f>220*1.04*1.05</f>
        <v>240.24</v>
      </c>
      <c r="E245" s="62"/>
      <c r="F245" s="83"/>
      <c r="G245" s="84"/>
      <c r="H245" s="55">
        <f>C245-D245+E245+F245+G245</f>
        <v>7425.6</v>
      </c>
    </row>
    <row r="246" spans="1:8" ht="60" customHeight="1">
      <c r="A246" s="45" t="s">
        <v>162</v>
      </c>
      <c r="B246" s="35" t="s">
        <v>61</v>
      </c>
      <c r="C246" s="22">
        <f>4790*1.04*1.05</f>
        <v>5230.68</v>
      </c>
      <c r="D246" s="22"/>
      <c r="E246" s="20">
        <v>90</v>
      </c>
      <c r="F246" s="21"/>
      <c r="G246" s="85"/>
      <c r="H246" s="20">
        <f t="shared" ref="H246:H248" si="34">C246-D246+E246+G246</f>
        <v>5320.68</v>
      </c>
    </row>
    <row r="247" spans="1:8" ht="57.95" customHeight="1">
      <c r="A247" s="45" t="s">
        <v>163</v>
      </c>
      <c r="B247" s="35" t="s">
        <v>164</v>
      </c>
      <c r="C247" s="22">
        <f>6928*1.04*1.05</f>
        <v>7565.3760000000002</v>
      </c>
      <c r="D247" s="22">
        <f>220*1.04*1.05</f>
        <v>240.24</v>
      </c>
      <c r="E247" s="18"/>
      <c r="F247" s="19"/>
      <c r="G247" s="85"/>
      <c r="H247" s="20">
        <f t="shared" ref="H247" si="35">C247-D247+E247+G247</f>
        <v>7325.1360000000004</v>
      </c>
    </row>
    <row r="248" spans="1:8" ht="51" customHeight="1">
      <c r="A248" s="45" t="s">
        <v>165</v>
      </c>
      <c r="B248" s="34" t="s">
        <v>83</v>
      </c>
      <c r="C248" s="22">
        <f>3185*1.05*1.05</f>
        <v>3511.4625000000001</v>
      </c>
      <c r="D248" s="22"/>
      <c r="E248" s="20">
        <v>142</v>
      </c>
      <c r="F248" s="21"/>
      <c r="G248" s="85"/>
      <c r="H248" s="20">
        <f t="shared" si="34"/>
        <v>3653.4625000000001</v>
      </c>
    </row>
    <row r="249" spans="1:8" ht="25.5" customHeight="1">
      <c r="A249" s="199"/>
      <c r="B249" s="38" t="s">
        <v>23</v>
      </c>
      <c r="C249" s="59">
        <f t="shared" ref="C249:H249" si="36">SUM(C245:C248)</f>
        <v>23973.358500000002</v>
      </c>
      <c r="D249" s="59">
        <f t="shared" si="36"/>
        <v>480.48</v>
      </c>
      <c r="E249" s="59">
        <f t="shared" si="36"/>
        <v>232</v>
      </c>
      <c r="F249" s="93">
        <f t="shared" si="36"/>
        <v>0</v>
      </c>
      <c r="G249" s="94">
        <f t="shared" si="36"/>
        <v>0</v>
      </c>
      <c r="H249" s="59">
        <f t="shared" si="36"/>
        <v>23724.878500000003</v>
      </c>
    </row>
    <row r="250" spans="1:8" ht="15" customHeight="1">
      <c r="A250" s="319"/>
      <c r="B250" s="319"/>
      <c r="C250" s="319"/>
      <c r="D250" s="319"/>
      <c r="E250" s="319"/>
      <c r="F250" s="320"/>
      <c r="G250" s="321"/>
      <c r="H250" s="319"/>
    </row>
    <row r="251" spans="1:8" ht="15" customHeight="1">
      <c r="A251" s="319"/>
      <c r="B251" s="319"/>
      <c r="C251" s="319"/>
      <c r="D251" s="319"/>
      <c r="E251" s="319"/>
      <c r="F251" s="320"/>
      <c r="G251" s="321"/>
      <c r="H251" s="319"/>
    </row>
    <row r="252" spans="1:8" ht="15" customHeight="1">
      <c r="A252" s="322"/>
      <c r="B252" s="322"/>
      <c r="C252" s="322"/>
      <c r="D252" s="322"/>
      <c r="E252" s="322"/>
      <c r="F252" s="323"/>
      <c r="G252" s="324"/>
      <c r="H252" s="322"/>
    </row>
    <row r="253" spans="1:8" ht="15" customHeight="1">
      <c r="A253" s="307"/>
      <c r="B253" s="307"/>
      <c r="C253" s="307"/>
      <c r="D253" s="307"/>
      <c r="E253" s="307"/>
      <c r="F253" s="308"/>
      <c r="G253" s="309"/>
      <c r="H253" s="307"/>
    </row>
    <row r="254" spans="1:8" ht="24.75" customHeight="1">
      <c r="A254" s="51" t="s">
        <v>3</v>
      </c>
      <c r="B254" s="52" t="s">
        <v>4</v>
      </c>
      <c r="C254" s="52" t="s">
        <v>5</v>
      </c>
      <c r="D254" s="52" t="s">
        <v>6</v>
      </c>
      <c r="E254" s="52" t="s">
        <v>7</v>
      </c>
      <c r="F254" s="74" t="s">
        <v>8</v>
      </c>
      <c r="G254" s="90" t="str">
        <f>G244</f>
        <v>COMPENSACIONES</v>
      </c>
      <c r="H254" s="52" t="s">
        <v>10</v>
      </c>
    </row>
    <row r="255" spans="1:8" ht="51" customHeight="1">
      <c r="A255" s="68" t="s">
        <v>166</v>
      </c>
      <c r="B255" s="161" t="s">
        <v>167</v>
      </c>
      <c r="C255" s="44">
        <f>10038*1.04*1.05</f>
        <v>10961.496000000001</v>
      </c>
      <c r="D255" s="44">
        <f>441*1.04*1.05</f>
        <v>481.57200000000006</v>
      </c>
      <c r="E255" s="55"/>
      <c r="F255" s="91"/>
      <c r="G255" s="92"/>
      <c r="H255" s="55">
        <f>C255-D255+E255+G255</f>
        <v>10479.924000000001</v>
      </c>
    </row>
    <row r="256" spans="1:8" ht="51" customHeight="1">
      <c r="A256" s="33" t="s">
        <v>168</v>
      </c>
      <c r="B256" s="57" t="s">
        <v>169</v>
      </c>
      <c r="C256" s="22">
        <f>3100*1.04*1.05</f>
        <v>3385.2000000000003</v>
      </c>
      <c r="D256" s="22"/>
      <c r="E256" s="20">
        <v>90</v>
      </c>
      <c r="F256" s="21"/>
      <c r="G256" s="85"/>
      <c r="H256" s="20">
        <f t="shared" ref="H256:H257" si="37">C256-D256+E256+G256</f>
        <v>3475.2000000000003</v>
      </c>
    </row>
    <row r="257" spans="1:8" ht="54.95" customHeight="1">
      <c r="A257" s="45" t="s">
        <v>170</v>
      </c>
      <c r="B257" s="34" t="s">
        <v>33</v>
      </c>
      <c r="C257" s="127">
        <f>5247*1.04*1.05</f>
        <v>5729.7240000000002</v>
      </c>
      <c r="D257" s="127"/>
      <c r="E257" s="142">
        <v>90</v>
      </c>
      <c r="F257" s="86"/>
      <c r="G257" s="87"/>
      <c r="H257" s="142">
        <f t="shared" si="37"/>
        <v>5819.7240000000002</v>
      </c>
    </row>
    <row r="258" spans="1:8" ht="33.950000000000003" customHeight="1">
      <c r="A258" s="48"/>
      <c r="B258" s="38" t="s">
        <v>23</v>
      </c>
      <c r="C258" s="49">
        <f>SUM(C255:C257)</f>
        <v>20076.420000000002</v>
      </c>
      <c r="D258" s="49">
        <f t="shared" ref="D258:H258" si="38">SUM(D255:D257)</f>
        <v>481.57200000000006</v>
      </c>
      <c r="E258" s="49">
        <f t="shared" si="38"/>
        <v>180</v>
      </c>
      <c r="F258" s="88">
        <f t="shared" si="38"/>
        <v>0</v>
      </c>
      <c r="G258" s="89">
        <f t="shared" si="38"/>
        <v>0</v>
      </c>
      <c r="H258" s="49">
        <f t="shared" si="38"/>
        <v>19774.848000000002</v>
      </c>
    </row>
    <row r="259" spans="1:8" ht="15" customHeight="1">
      <c r="A259" s="319"/>
      <c r="B259" s="319"/>
      <c r="C259" s="319"/>
      <c r="D259" s="319"/>
      <c r="E259" s="319"/>
      <c r="F259" s="320"/>
      <c r="G259" s="321"/>
      <c r="H259" s="319"/>
    </row>
    <row r="260" spans="1:8" ht="15" customHeight="1">
      <c r="A260" s="319"/>
      <c r="B260" s="319"/>
      <c r="C260" s="319"/>
      <c r="D260" s="319"/>
      <c r="E260" s="319"/>
      <c r="F260" s="320"/>
      <c r="G260" s="321"/>
      <c r="H260" s="319"/>
    </row>
    <row r="261" spans="1:8" ht="15" customHeight="1">
      <c r="A261" s="322"/>
      <c r="B261" s="322"/>
      <c r="C261" s="322"/>
      <c r="D261" s="322"/>
      <c r="E261" s="322"/>
      <c r="F261" s="323"/>
      <c r="G261" s="324"/>
      <c r="H261" s="322"/>
    </row>
    <row r="262" spans="1:8" ht="15" customHeight="1">
      <c r="A262" s="307"/>
      <c r="B262" s="307"/>
      <c r="C262" s="307"/>
      <c r="D262" s="307"/>
      <c r="E262" s="307"/>
      <c r="F262" s="308"/>
      <c r="G262" s="309"/>
      <c r="H262" s="307"/>
    </row>
    <row r="263" spans="1:8" ht="30.75" customHeight="1">
      <c r="A263" s="51" t="s">
        <v>3</v>
      </c>
      <c r="B263" s="52" t="s">
        <v>4</v>
      </c>
      <c r="C263" s="52" t="s">
        <v>5</v>
      </c>
      <c r="D263" s="52" t="s">
        <v>6</v>
      </c>
      <c r="E263" s="52" t="s">
        <v>7</v>
      </c>
      <c r="F263" s="74" t="s">
        <v>8</v>
      </c>
      <c r="G263" s="90" t="str">
        <f>G254</f>
        <v>COMPENSACIONES</v>
      </c>
      <c r="H263" s="52" t="s">
        <v>10</v>
      </c>
    </row>
    <row r="264" spans="1:8" ht="51" customHeight="1">
      <c r="A264" s="68" t="s">
        <v>171</v>
      </c>
      <c r="B264" s="69" t="s">
        <v>66</v>
      </c>
      <c r="C264" s="44">
        <f>10451*1.04*1.05</f>
        <v>11412.492000000002</v>
      </c>
      <c r="D264" s="44">
        <f>441*1.04*1.05</f>
        <v>481.57200000000006</v>
      </c>
      <c r="E264" s="55"/>
      <c r="F264" s="91"/>
      <c r="G264" s="92"/>
      <c r="H264" s="55">
        <f>C264-D264+E264+G264</f>
        <v>10930.920000000002</v>
      </c>
    </row>
    <row r="265" spans="1:8" ht="51" customHeight="1">
      <c r="A265" s="33" t="s">
        <v>172</v>
      </c>
      <c r="B265" s="125" t="s">
        <v>173</v>
      </c>
      <c r="C265" s="218">
        <f>7458*1.05*1.05</f>
        <v>8222.4450000000015</v>
      </c>
      <c r="D265" s="127">
        <f>367*1.05*1.05</f>
        <v>404.61750000000006</v>
      </c>
      <c r="E265" s="142"/>
      <c r="F265" s="86">
        <v>280</v>
      </c>
      <c r="G265" s="87"/>
      <c r="H265" s="142">
        <f>C265-D265+E265+G265+F265</f>
        <v>8097.8275000000012</v>
      </c>
    </row>
    <row r="266" spans="1:8" ht="45">
      <c r="A266" s="219"/>
      <c r="B266" s="220" t="s">
        <v>51</v>
      </c>
      <c r="C266" s="154">
        <f t="shared" ref="C266:H266" si="39">SUM(C264:C265)</f>
        <v>19634.937000000005</v>
      </c>
      <c r="D266" s="154">
        <f t="shared" si="39"/>
        <v>886.18950000000018</v>
      </c>
      <c r="E266" s="154">
        <f t="shared" si="39"/>
        <v>0</v>
      </c>
      <c r="F266" s="165">
        <f t="shared" si="39"/>
        <v>280</v>
      </c>
      <c r="G266" s="166">
        <f t="shared" si="39"/>
        <v>0</v>
      </c>
      <c r="H266" s="154">
        <f t="shared" si="39"/>
        <v>19028.747500000005</v>
      </c>
    </row>
    <row r="267" spans="1:8" ht="15" customHeight="1">
      <c r="A267" s="307"/>
      <c r="B267" s="307"/>
      <c r="C267" s="307"/>
      <c r="D267" s="307"/>
      <c r="E267" s="307"/>
      <c r="F267" s="308"/>
      <c r="G267" s="309"/>
      <c r="H267" s="307"/>
    </row>
    <row r="268" spans="1:8" ht="24.75" customHeight="1">
      <c r="A268" s="51" t="s">
        <v>3</v>
      </c>
      <c r="B268" s="52" t="s">
        <v>4</v>
      </c>
      <c r="C268" s="52" t="s">
        <v>5</v>
      </c>
      <c r="D268" s="52" t="s">
        <v>6</v>
      </c>
      <c r="E268" s="52" t="s">
        <v>7</v>
      </c>
      <c r="F268" s="74" t="s">
        <v>8</v>
      </c>
      <c r="G268" s="90" t="str">
        <f>G263</f>
        <v>COMPENSACIONES</v>
      </c>
      <c r="H268" s="52" t="s">
        <v>10</v>
      </c>
    </row>
    <row r="269" spans="1:8" ht="51" customHeight="1">
      <c r="A269" s="33" t="s">
        <v>174</v>
      </c>
      <c r="B269" s="125" t="s">
        <v>175</v>
      </c>
      <c r="C269" s="22">
        <f>6498*1.05*1.05</f>
        <v>7164.045000000001</v>
      </c>
      <c r="D269" s="22">
        <f>220*1.05*1.05</f>
        <v>242.55</v>
      </c>
      <c r="E269" s="20"/>
      <c r="F269" s="21">
        <v>175</v>
      </c>
      <c r="G269" s="85"/>
      <c r="H269" s="20">
        <f>C269-D269+E269+F269+G269</f>
        <v>7096.4950000000008</v>
      </c>
    </row>
    <row r="270" spans="1:8" ht="51" customHeight="1">
      <c r="A270" s="45" t="s">
        <v>176</v>
      </c>
      <c r="B270" s="125" t="s">
        <v>175</v>
      </c>
      <c r="C270" s="22">
        <f>6498*1.05*1.05</f>
        <v>7164.045000000001</v>
      </c>
      <c r="D270" s="22">
        <f>220*1.05*1.05</f>
        <v>242.55</v>
      </c>
      <c r="E270" s="20"/>
      <c r="F270" s="21">
        <v>175</v>
      </c>
      <c r="G270" s="85"/>
      <c r="H270" s="20">
        <f>C270-D270+E270+F270+G270</f>
        <v>7096.4950000000008</v>
      </c>
    </row>
    <row r="271" spans="1:8" ht="51" customHeight="1">
      <c r="A271" s="33" t="s">
        <v>177</v>
      </c>
      <c r="B271" s="125" t="s">
        <v>175</v>
      </c>
      <c r="C271" s="22">
        <f>6498*1.05*1.05</f>
        <v>7164.045000000001</v>
      </c>
      <c r="D271" s="22">
        <f>220*1.05*1.05</f>
        <v>242.55</v>
      </c>
      <c r="E271" s="20"/>
      <c r="F271" s="21">
        <v>175</v>
      </c>
      <c r="G271" s="85"/>
      <c r="H271" s="20">
        <f>C271-D271+E271+F271+G271</f>
        <v>7096.4950000000008</v>
      </c>
    </row>
    <row r="272" spans="1:8" ht="36" customHeight="1">
      <c r="A272" s="219"/>
      <c r="B272" s="221" t="s">
        <v>178</v>
      </c>
      <c r="C272" s="134">
        <f t="shared" ref="C272:H272" si="40">SUM(C269:C271)</f>
        <v>21492.135000000002</v>
      </c>
      <c r="D272" s="134">
        <f t="shared" si="40"/>
        <v>727.65000000000009</v>
      </c>
      <c r="E272" s="134">
        <f t="shared" si="40"/>
        <v>0</v>
      </c>
      <c r="F272" s="146">
        <f t="shared" si="40"/>
        <v>525</v>
      </c>
      <c r="G272" s="224">
        <f t="shared" si="40"/>
        <v>0</v>
      </c>
      <c r="H272" s="134">
        <f t="shared" si="40"/>
        <v>21289.485000000001</v>
      </c>
    </row>
    <row r="273" spans="1:11" ht="15" customHeight="1">
      <c r="A273" s="307"/>
      <c r="B273" s="307"/>
      <c r="C273" s="307"/>
      <c r="D273" s="307"/>
      <c r="E273" s="307"/>
      <c r="F273" s="308"/>
      <c r="G273" s="309"/>
      <c r="H273" s="307"/>
    </row>
    <row r="274" spans="1:11" ht="24.75" customHeight="1">
      <c r="A274" s="51" t="s">
        <v>3</v>
      </c>
      <c r="B274" s="52" t="s">
        <v>4</v>
      </c>
      <c r="C274" s="52" t="s">
        <v>5</v>
      </c>
      <c r="D274" s="52" t="s">
        <v>6</v>
      </c>
      <c r="E274" s="52" t="s">
        <v>7</v>
      </c>
      <c r="F274" s="74" t="s">
        <v>8</v>
      </c>
      <c r="G274" s="90" t="str">
        <f>G268</f>
        <v>COMPENSACIONES</v>
      </c>
      <c r="H274" s="52" t="s">
        <v>10</v>
      </c>
    </row>
    <row r="275" spans="1:11" ht="50.25" customHeight="1">
      <c r="A275" s="33" t="s">
        <v>179</v>
      </c>
      <c r="B275" s="125" t="s">
        <v>180</v>
      </c>
      <c r="C275" s="22">
        <v>0</v>
      </c>
      <c r="D275" s="22">
        <v>0</v>
      </c>
      <c r="E275" s="20"/>
      <c r="F275" s="21">
        <v>0</v>
      </c>
      <c r="G275" s="85"/>
      <c r="H275" s="20">
        <f t="shared" ref="H275:H281" si="41">C275-D275+E275+F275+G275</f>
        <v>0</v>
      </c>
    </row>
    <row r="276" spans="1:11" ht="51" customHeight="1">
      <c r="A276" s="45" t="s">
        <v>181</v>
      </c>
      <c r="B276" s="125" t="s">
        <v>180</v>
      </c>
      <c r="C276" s="22">
        <f>6096*1.05*1.05</f>
        <v>6720.84</v>
      </c>
      <c r="D276" s="22">
        <f>183*1.05*1.05</f>
        <v>201.75750000000002</v>
      </c>
      <c r="E276" s="20"/>
      <c r="F276" s="21">
        <v>153</v>
      </c>
      <c r="G276" s="85"/>
      <c r="H276" s="20">
        <f t="shared" si="41"/>
        <v>6672.0825000000004</v>
      </c>
    </row>
    <row r="277" spans="1:11" ht="51" customHeight="1">
      <c r="A277" s="45" t="s">
        <v>182</v>
      </c>
      <c r="B277" s="125" t="s">
        <v>180</v>
      </c>
      <c r="C277" s="22">
        <f>6096*1.05*1.05</f>
        <v>6720.84</v>
      </c>
      <c r="D277" s="22">
        <f>183*1.05*1.05</f>
        <v>201.75750000000002</v>
      </c>
      <c r="E277" s="20"/>
      <c r="F277" s="21">
        <v>153</v>
      </c>
      <c r="G277" s="85"/>
      <c r="H277" s="20">
        <f t="shared" si="41"/>
        <v>6672.0825000000004</v>
      </c>
    </row>
    <row r="278" spans="1:11" ht="51" customHeight="1">
      <c r="A278" s="33" t="s">
        <v>183</v>
      </c>
      <c r="B278" s="125" t="s">
        <v>180</v>
      </c>
      <c r="C278" s="22">
        <f>6822.9*1.05</f>
        <v>7164.0450000000001</v>
      </c>
      <c r="D278" s="22">
        <f>231*1.05</f>
        <v>242.55</v>
      </c>
      <c r="E278" s="20"/>
      <c r="F278" s="21">
        <v>175</v>
      </c>
      <c r="G278" s="85"/>
      <c r="H278" s="20">
        <f t="shared" si="41"/>
        <v>7096.4949999999999</v>
      </c>
    </row>
    <row r="279" spans="1:11" ht="51" customHeight="1">
      <c r="A279" s="222" t="s">
        <v>184</v>
      </c>
      <c r="B279" s="125" t="s">
        <v>185</v>
      </c>
      <c r="C279" s="22">
        <f>6400.8*1.05</f>
        <v>6720.84</v>
      </c>
      <c r="D279" s="22">
        <f>192.15*1.05</f>
        <v>201.75750000000002</v>
      </c>
      <c r="E279" s="20"/>
      <c r="F279" s="21">
        <v>153</v>
      </c>
      <c r="G279" s="225"/>
      <c r="H279" s="20">
        <f t="shared" si="41"/>
        <v>6672.0825000000004</v>
      </c>
    </row>
    <row r="280" spans="1:11" ht="51" customHeight="1">
      <c r="A280" s="8" t="s">
        <v>186</v>
      </c>
      <c r="B280" s="125" t="s">
        <v>185</v>
      </c>
      <c r="C280" s="22">
        <f>6400.8*1.05</f>
        <v>6720.84</v>
      </c>
      <c r="D280" s="22">
        <f t="shared" ref="D280:D334" si="42">99*1.05*1.05</f>
        <v>109.14750000000001</v>
      </c>
      <c r="E280" s="20"/>
      <c r="F280" s="21">
        <v>153</v>
      </c>
      <c r="G280" s="225"/>
      <c r="H280" s="20">
        <f t="shared" si="41"/>
        <v>6764.6925000000001</v>
      </c>
    </row>
    <row r="281" spans="1:11" ht="51" customHeight="1">
      <c r="A281" s="33" t="s">
        <v>187</v>
      </c>
      <c r="B281" s="125" t="s">
        <v>180</v>
      </c>
      <c r="C281" s="22">
        <f>6720.84*1.05</f>
        <v>7056.8820000000005</v>
      </c>
      <c r="D281" s="22">
        <f>183*1.05*1.05</f>
        <v>201.75750000000002</v>
      </c>
      <c r="E281" s="20"/>
      <c r="F281" s="21">
        <v>153</v>
      </c>
      <c r="G281" s="85"/>
      <c r="H281" s="20">
        <f t="shared" si="41"/>
        <v>7008.1245000000008</v>
      </c>
    </row>
    <row r="282" spans="1:11" ht="35.1" customHeight="1">
      <c r="A282" s="58"/>
      <c r="B282" s="221" t="s">
        <v>178</v>
      </c>
      <c r="C282" s="134">
        <f>SUM(C275:C281)</f>
        <v>41104.286999999997</v>
      </c>
      <c r="D282" s="134">
        <f t="shared" ref="D282:H282" si="43">SUM(D275:D281)</f>
        <v>1158.7275000000002</v>
      </c>
      <c r="E282" s="134">
        <f t="shared" si="43"/>
        <v>0</v>
      </c>
      <c r="F282" s="146">
        <f t="shared" si="43"/>
        <v>940</v>
      </c>
      <c r="G282" s="226">
        <f t="shared" si="43"/>
        <v>0</v>
      </c>
      <c r="H282" s="134">
        <f t="shared" si="43"/>
        <v>40885.559499999996</v>
      </c>
    </row>
    <row r="283" spans="1:11" ht="15" customHeight="1">
      <c r="A283" s="337"/>
      <c r="B283" s="337"/>
      <c r="C283" s="337"/>
      <c r="D283" s="337"/>
      <c r="E283" s="337"/>
      <c r="F283" s="326"/>
      <c r="G283" s="327"/>
      <c r="H283" s="337"/>
    </row>
    <row r="284" spans="1:11" ht="24.75" customHeight="1">
      <c r="A284" s="51" t="s">
        <v>3</v>
      </c>
      <c r="B284" s="52" t="s">
        <v>4</v>
      </c>
      <c r="C284" s="52" t="s">
        <v>5</v>
      </c>
      <c r="D284" s="52" t="s">
        <v>6</v>
      </c>
      <c r="E284" s="52" t="s">
        <v>7</v>
      </c>
      <c r="F284" s="74" t="s">
        <v>8</v>
      </c>
      <c r="G284" s="90" t="str">
        <f>G274</f>
        <v>COMPENSACIONES</v>
      </c>
      <c r="H284" s="52" t="s">
        <v>10</v>
      </c>
    </row>
    <row r="285" spans="1:11" ht="51" customHeight="1">
      <c r="A285" s="33" t="s">
        <v>188</v>
      </c>
      <c r="B285" s="125" t="s">
        <v>185</v>
      </c>
      <c r="C285" s="22">
        <f>5545*1.05*1.05</f>
        <v>6113.3625000000002</v>
      </c>
      <c r="D285" s="22">
        <f>99*1.05*1.05</f>
        <v>109.14750000000001</v>
      </c>
      <c r="E285" s="20"/>
      <c r="F285" s="21">
        <v>126</v>
      </c>
      <c r="G285" s="225"/>
      <c r="H285" s="20">
        <f>C285-D285+E285+F285+G285</f>
        <v>6130.2150000000001</v>
      </c>
      <c r="K285" s="4" t="e">
        <f>5844.3-#REF!</f>
        <v>#REF!</v>
      </c>
    </row>
    <row r="286" spans="1:11" ht="51" customHeight="1">
      <c r="A286" s="33" t="s">
        <v>189</v>
      </c>
      <c r="B286" s="125" t="s">
        <v>185</v>
      </c>
      <c r="C286" s="22">
        <f>5545*1.05*1.05</f>
        <v>6113.3625000000002</v>
      </c>
      <c r="D286" s="22">
        <f t="shared" si="42"/>
        <v>109.14750000000001</v>
      </c>
      <c r="E286" s="20"/>
      <c r="F286" s="21">
        <v>126</v>
      </c>
      <c r="G286" s="225"/>
      <c r="H286" s="20">
        <f>C286-D286+E286+F286+G286</f>
        <v>6130.2150000000001</v>
      </c>
    </row>
    <row r="287" spans="1:11" s="6" customFormat="1" ht="51" customHeight="1">
      <c r="A287" s="33" t="s">
        <v>190</v>
      </c>
      <c r="B287" s="125" t="s">
        <v>185</v>
      </c>
      <c r="C287" s="22">
        <f>5823.3*1.05</f>
        <v>6114.4650000000001</v>
      </c>
      <c r="D287" s="22">
        <f t="shared" si="42"/>
        <v>109.14750000000001</v>
      </c>
      <c r="E287" s="20"/>
      <c r="F287" s="21"/>
      <c r="G287" s="225"/>
      <c r="H287" s="20">
        <f>C287-D287+E287+G287</f>
        <v>6005.3175000000001</v>
      </c>
    </row>
    <row r="288" spans="1:11" ht="51" customHeight="1">
      <c r="A288" s="8" t="s">
        <v>191</v>
      </c>
      <c r="B288" s="125" t="s">
        <v>185</v>
      </c>
      <c r="C288" s="22">
        <f>5545*1.05*1.05</f>
        <v>6113.3625000000002</v>
      </c>
      <c r="D288" s="22">
        <f t="shared" si="42"/>
        <v>109.14750000000001</v>
      </c>
      <c r="E288" s="20"/>
      <c r="F288" s="21">
        <v>126</v>
      </c>
      <c r="G288" s="225"/>
      <c r="H288" s="20">
        <f t="shared" ref="H288:H295" si="44">C288-D288+E288+F288+G288</f>
        <v>6130.2150000000001</v>
      </c>
    </row>
    <row r="289" spans="1:8" ht="51" customHeight="1">
      <c r="A289" s="9" t="s">
        <v>192</v>
      </c>
      <c r="B289" s="125" t="s">
        <v>185</v>
      </c>
      <c r="C289" s="22">
        <f t="shared" ref="C289:C334" si="45">5822.25*1.05</f>
        <v>6113.3625000000002</v>
      </c>
      <c r="D289" s="22">
        <f t="shared" si="42"/>
        <v>109.14750000000001</v>
      </c>
      <c r="E289" s="20"/>
      <c r="F289" s="21">
        <v>126</v>
      </c>
      <c r="G289" s="225"/>
      <c r="H289" s="20">
        <f t="shared" si="44"/>
        <v>6130.2150000000001</v>
      </c>
    </row>
    <row r="290" spans="1:8" ht="51" customHeight="1">
      <c r="A290" s="9" t="s">
        <v>193</v>
      </c>
      <c r="B290" s="125" t="s">
        <v>185</v>
      </c>
      <c r="C290" s="22">
        <f t="shared" si="45"/>
        <v>6113.3625000000002</v>
      </c>
      <c r="D290" s="22">
        <f t="shared" si="42"/>
        <v>109.14750000000001</v>
      </c>
      <c r="E290" s="20"/>
      <c r="F290" s="21">
        <v>126</v>
      </c>
      <c r="G290" s="225"/>
      <c r="H290" s="20">
        <f t="shared" ref="H290:H294" si="46">C290-D290+E290+F290+G290</f>
        <v>6130.2150000000001</v>
      </c>
    </row>
    <row r="291" spans="1:8" ht="51" customHeight="1">
      <c r="A291" s="9" t="s">
        <v>194</v>
      </c>
      <c r="B291" s="125" t="s">
        <v>185</v>
      </c>
      <c r="C291" s="22">
        <f t="shared" si="45"/>
        <v>6113.3625000000002</v>
      </c>
      <c r="D291" s="22">
        <f t="shared" si="42"/>
        <v>109.14750000000001</v>
      </c>
      <c r="E291" s="20"/>
      <c r="F291" s="21">
        <v>126</v>
      </c>
      <c r="G291" s="225"/>
      <c r="H291" s="20">
        <f t="shared" si="46"/>
        <v>6130.2150000000001</v>
      </c>
    </row>
    <row r="292" spans="1:8" ht="51" customHeight="1">
      <c r="A292" s="9" t="s">
        <v>195</v>
      </c>
      <c r="B292" s="125" t="s">
        <v>185</v>
      </c>
      <c r="C292" s="22">
        <f t="shared" si="45"/>
        <v>6113.3625000000002</v>
      </c>
      <c r="D292" s="22">
        <f t="shared" si="42"/>
        <v>109.14750000000001</v>
      </c>
      <c r="E292" s="20"/>
      <c r="F292" s="21">
        <v>126</v>
      </c>
      <c r="G292" s="225"/>
      <c r="H292" s="20">
        <f t="shared" si="46"/>
        <v>6130.2150000000001</v>
      </c>
    </row>
    <row r="293" spans="1:8" ht="51" customHeight="1">
      <c r="A293" s="9" t="s">
        <v>196</v>
      </c>
      <c r="B293" s="125" t="s">
        <v>185</v>
      </c>
      <c r="C293" s="22">
        <f t="shared" si="45"/>
        <v>6113.3625000000002</v>
      </c>
      <c r="D293" s="22">
        <f t="shared" si="42"/>
        <v>109.14750000000001</v>
      </c>
      <c r="E293" s="20"/>
      <c r="F293" s="21">
        <v>126</v>
      </c>
      <c r="G293" s="225"/>
      <c r="H293" s="20">
        <f t="shared" si="46"/>
        <v>6130.2150000000001</v>
      </c>
    </row>
    <row r="294" spans="1:8" ht="51" customHeight="1">
      <c r="A294" s="8" t="s">
        <v>197</v>
      </c>
      <c r="B294" s="125" t="s">
        <v>185</v>
      </c>
      <c r="C294" s="22">
        <f t="shared" si="45"/>
        <v>6113.3625000000002</v>
      </c>
      <c r="D294" s="22">
        <f t="shared" si="42"/>
        <v>109.14750000000001</v>
      </c>
      <c r="E294" s="20"/>
      <c r="F294" s="21">
        <v>126</v>
      </c>
      <c r="G294" s="225"/>
      <c r="H294" s="20">
        <f t="shared" si="46"/>
        <v>6130.2150000000001</v>
      </c>
    </row>
    <row r="295" spans="1:8" ht="51" customHeight="1">
      <c r="A295" s="8" t="s">
        <v>198</v>
      </c>
      <c r="B295" s="125" t="s">
        <v>185</v>
      </c>
      <c r="C295" s="22">
        <f t="shared" si="45"/>
        <v>6113.3625000000002</v>
      </c>
      <c r="D295" s="22">
        <f t="shared" si="42"/>
        <v>109.14750000000001</v>
      </c>
      <c r="E295" s="20"/>
      <c r="F295" s="21">
        <v>126</v>
      </c>
      <c r="G295" s="225"/>
      <c r="H295" s="20">
        <f t="shared" si="44"/>
        <v>6130.2150000000001</v>
      </c>
    </row>
    <row r="297" spans="1:8" ht="25.5" customHeight="1">
      <c r="A297" s="219"/>
      <c r="B297" s="220" t="s">
        <v>178</v>
      </c>
      <c r="C297" s="223">
        <f t="shared" ref="C297:H297" si="47">SUM(C285:C296)</f>
        <v>67248.090000000011</v>
      </c>
      <c r="D297" s="223">
        <f t="shared" si="47"/>
        <v>1200.6225000000002</v>
      </c>
      <c r="E297" s="223">
        <f t="shared" si="47"/>
        <v>0</v>
      </c>
      <c r="F297" s="227">
        <f t="shared" si="47"/>
        <v>1260</v>
      </c>
      <c r="G297" s="228">
        <f t="shared" si="47"/>
        <v>0</v>
      </c>
      <c r="H297" s="223">
        <f t="shared" si="47"/>
        <v>67307.467499999984</v>
      </c>
    </row>
    <row r="298" spans="1:8" ht="30.95" customHeight="1">
      <c r="A298" s="10"/>
      <c r="B298" s="220" t="s">
        <v>199</v>
      </c>
      <c r="C298" s="154">
        <f t="shared" ref="C298:H298" si="48">SUM(C266+C272+C282+C297)</f>
        <v>149479.44900000002</v>
      </c>
      <c r="D298" s="154">
        <f t="shared" si="48"/>
        <v>3973.1895000000004</v>
      </c>
      <c r="E298" s="154">
        <f t="shared" si="48"/>
        <v>0</v>
      </c>
      <c r="F298" s="165">
        <f t="shared" si="48"/>
        <v>3005</v>
      </c>
      <c r="G298" s="166">
        <f t="shared" si="48"/>
        <v>0</v>
      </c>
      <c r="H298" s="154">
        <f t="shared" si="48"/>
        <v>148511.25949999999</v>
      </c>
    </row>
    <row r="299" spans="1:8" ht="15" customHeight="1">
      <c r="A299" s="319"/>
      <c r="B299" s="319"/>
      <c r="C299" s="319"/>
      <c r="D299" s="319"/>
      <c r="E299" s="319"/>
      <c r="F299" s="320"/>
      <c r="G299" s="321"/>
      <c r="H299" s="319"/>
    </row>
    <row r="300" spans="1:8" ht="15" customHeight="1">
      <c r="A300" s="319"/>
      <c r="B300" s="319"/>
      <c r="C300" s="319"/>
      <c r="D300" s="319"/>
      <c r="E300" s="319"/>
      <c r="F300" s="320"/>
      <c r="G300" s="321"/>
      <c r="H300" s="319"/>
    </row>
    <row r="301" spans="1:8" ht="15" customHeight="1">
      <c r="A301" s="322"/>
      <c r="B301" s="322"/>
      <c r="C301" s="322"/>
      <c r="D301" s="322"/>
      <c r="E301" s="322"/>
      <c r="F301" s="323"/>
      <c r="G301" s="324"/>
      <c r="H301" s="322"/>
    </row>
    <row r="302" spans="1:8" ht="15" customHeight="1">
      <c r="A302" s="307"/>
      <c r="B302" s="307"/>
      <c r="C302" s="307"/>
      <c r="D302" s="307"/>
      <c r="E302" s="307"/>
      <c r="F302" s="308"/>
      <c r="G302" s="309"/>
      <c r="H302" s="307"/>
    </row>
    <row r="303" spans="1:8" ht="24.75" customHeight="1">
      <c r="A303" s="51" t="s">
        <v>3</v>
      </c>
      <c r="B303" s="52" t="s">
        <v>4</v>
      </c>
      <c r="C303" s="52" t="s">
        <v>5</v>
      </c>
      <c r="D303" s="52" t="s">
        <v>6</v>
      </c>
      <c r="E303" s="52" t="s">
        <v>7</v>
      </c>
      <c r="F303" s="74" t="s">
        <v>8</v>
      </c>
      <c r="G303" s="90" t="str">
        <f>G284</f>
        <v>COMPENSACIONES</v>
      </c>
      <c r="H303" s="52" t="s">
        <v>10</v>
      </c>
    </row>
    <row r="304" spans="1:8" ht="56.1" customHeight="1">
      <c r="A304" s="45" t="s">
        <v>200</v>
      </c>
      <c r="B304" s="35" t="s">
        <v>201</v>
      </c>
      <c r="C304" s="22">
        <f>7408*1.04*1.05</f>
        <v>8089.536000000001</v>
      </c>
      <c r="D304" s="22">
        <f>336*1.04*1.05</f>
        <v>366.91200000000003</v>
      </c>
      <c r="E304" s="20"/>
      <c r="F304" s="21"/>
      <c r="G304" s="225"/>
      <c r="H304" s="20">
        <f>C304-D304+G304</f>
        <v>7722.6240000000007</v>
      </c>
    </row>
    <row r="305" spans="1:8" ht="47.25" customHeight="1">
      <c r="A305" s="130" t="s">
        <v>202</v>
      </c>
      <c r="B305" s="35" t="s">
        <v>201</v>
      </c>
      <c r="C305" s="22">
        <f>'[3]MADRE BANCO'!$G$226</f>
        <v>6690</v>
      </c>
      <c r="D305" s="22">
        <v>190</v>
      </c>
      <c r="E305" s="20"/>
      <c r="F305" s="21"/>
      <c r="G305" s="85"/>
      <c r="H305" s="20">
        <f>C305-D305+G305</f>
        <v>6500</v>
      </c>
    </row>
    <row r="306" spans="1:8" s="6" customFormat="1" ht="48" customHeight="1">
      <c r="A306" s="45" t="s">
        <v>203</v>
      </c>
      <c r="B306" s="185" t="s">
        <v>122</v>
      </c>
      <c r="C306" s="22">
        <f>7215*1.05*1.05</f>
        <v>7954.5375000000004</v>
      </c>
      <c r="D306" s="22">
        <f>220*1.05*1.05</f>
        <v>242.55</v>
      </c>
      <c r="E306" s="20"/>
      <c r="F306" s="21"/>
      <c r="G306" s="85"/>
      <c r="H306" s="20">
        <f>C306-D306+E306+G306</f>
        <v>7711.9875000000002</v>
      </c>
    </row>
    <row r="307" spans="1:8" ht="27.75" customHeight="1">
      <c r="A307" s="199"/>
      <c r="B307" s="38" t="s">
        <v>23</v>
      </c>
      <c r="C307" s="59">
        <f>SUM(C304:C306)</f>
        <v>22734.073499999999</v>
      </c>
      <c r="D307" s="59">
        <f>SUM(D304:D306)</f>
        <v>799.46199999999999</v>
      </c>
      <c r="E307" s="59">
        <f>SUM(E304:E304)</f>
        <v>0</v>
      </c>
      <c r="F307" s="93">
        <f>SUM(F304:F304)</f>
        <v>0</v>
      </c>
      <c r="G307" s="94">
        <f>SUM(G304:G304)</f>
        <v>0</v>
      </c>
      <c r="H307" s="59">
        <f>SUM(H304:H306)</f>
        <v>21934.611499999999</v>
      </c>
    </row>
    <row r="308" spans="1:8" ht="18" customHeight="1">
      <c r="A308" s="319"/>
      <c r="B308" s="319"/>
      <c r="C308" s="319"/>
      <c r="D308" s="319"/>
      <c r="E308" s="319"/>
      <c r="F308" s="320"/>
      <c r="G308" s="321"/>
      <c r="H308" s="319"/>
    </row>
    <row r="309" spans="1:8" ht="17.25" customHeight="1">
      <c r="A309" s="319"/>
      <c r="B309" s="319"/>
      <c r="C309" s="319"/>
      <c r="D309" s="319"/>
      <c r="E309" s="319"/>
      <c r="F309" s="320"/>
      <c r="G309" s="321"/>
      <c r="H309" s="319"/>
    </row>
    <row r="310" spans="1:8" ht="17.25" customHeight="1">
      <c r="A310" s="322"/>
      <c r="B310" s="322"/>
      <c r="C310" s="322"/>
      <c r="D310" s="322"/>
      <c r="E310" s="322"/>
      <c r="F310" s="323"/>
      <c r="G310" s="324"/>
      <c r="H310" s="322"/>
    </row>
    <row r="311" spans="1:8" ht="21.75" customHeight="1">
      <c r="A311" s="334"/>
      <c r="B311" s="334"/>
      <c r="C311" s="334"/>
      <c r="D311" s="334"/>
      <c r="E311" s="334"/>
      <c r="F311" s="335"/>
      <c r="G311" s="336"/>
      <c r="H311" s="334"/>
    </row>
    <row r="312" spans="1:8" ht="26.25" customHeight="1">
      <c r="A312" s="51" t="s">
        <v>3</v>
      </c>
      <c r="B312" s="52" t="s">
        <v>4</v>
      </c>
      <c r="C312" s="52" t="s">
        <v>5</v>
      </c>
      <c r="D312" s="52" t="s">
        <v>6</v>
      </c>
      <c r="E312" s="52" t="s">
        <v>7</v>
      </c>
      <c r="F312" s="74" t="s">
        <v>8</v>
      </c>
      <c r="G312" s="90" t="str">
        <f>G303</f>
        <v>COMPENSACIONES</v>
      </c>
      <c r="H312" s="52" t="s">
        <v>10</v>
      </c>
    </row>
    <row r="313" spans="1:8" ht="26.25" customHeight="1">
      <c r="A313" s="14"/>
      <c r="B313" s="125"/>
      <c r="C313" s="20"/>
      <c r="D313" s="20"/>
      <c r="E313" s="20"/>
      <c r="F313" s="21"/>
      <c r="G313" s="229"/>
      <c r="H313" s="20">
        <f>C313-D313+E313</f>
        <v>0</v>
      </c>
    </row>
    <row r="314" spans="1:8" ht="25.5" customHeight="1">
      <c r="A314" s="199"/>
      <c r="B314" s="38" t="s">
        <v>23</v>
      </c>
      <c r="C314" s="59">
        <f>SUM(C313:C313)</f>
        <v>0</v>
      </c>
      <c r="D314" s="59">
        <f>SUM(D313:D313)</f>
        <v>0</v>
      </c>
      <c r="E314" s="59">
        <f>SUM(E313:E313)</f>
        <v>0</v>
      </c>
      <c r="F314" s="93">
        <f t="shared" ref="F314:H314" si="49">SUM(F313:F313)</f>
        <v>0</v>
      </c>
      <c r="G314" s="94">
        <f t="shared" si="49"/>
        <v>0</v>
      </c>
      <c r="H314" s="59">
        <f t="shared" si="49"/>
        <v>0</v>
      </c>
    </row>
    <row r="315" spans="1:8" ht="15" customHeight="1">
      <c r="A315" s="319"/>
      <c r="B315" s="319"/>
      <c r="C315" s="319"/>
      <c r="D315" s="319"/>
      <c r="E315" s="319"/>
      <c r="F315" s="320"/>
      <c r="G315" s="321"/>
      <c r="H315" s="319"/>
    </row>
    <row r="316" spans="1:8" ht="17.25" customHeight="1">
      <c r="A316" s="319"/>
      <c r="B316" s="319"/>
      <c r="C316" s="319"/>
      <c r="D316" s="319"/>
      <c r="E316" s="319"/>
      <c r="F316" s="320"/>
      <c r="G316" s="321"/>
      <c r="H316" s="319"/>
    </row>
    <row r="317" spans="1:8" ht="15" customHeight="1">
      <c r="A317" s="322"/>
      <c r="B317" s="322"/>
      <c r="C317" s="322"/>
      <c r="D317" s="322"/>
      <c r="E317" s="322"/>
      <c r="F317" s="323"/>
      <c r="G317" s="324"/>
      <c r="H317" s="322"/>
    </row>
    <row r="318" spans="1:8" ht="15" customHeight="1">
      <c r="A318" s="307"/>
      <c r="B318" s="307"/>
      <c r="C318" s="307"/>
      <c r="D318" s="307"/>
      <c r="E318" s="307"/>
      <c r="F318" s="308"/>
      <c r="G318" s="309"/>
      <c r="H318" s="307"/>
    </row>
    <row r="319" spans="1:8" ht="24.75" customHeight="1">
      <c r="A319" s="51" t="s">
        <v>3</v>
      </c>
      <c r="B319" s="52" t="s">
        <v>4</v>
      </c>
      <c r="C319" s="52" t="s">
        <v>5</v>
      </c>
      <c r="D319" s="52" t="s">
        <v>6</v>
      </c>
      <c r="E319" s="52" t="s">
        <v>7</v>
      </c>
      <c r="F319" s="74" t="s">
        <v>8</v>
      </c>
      <c r="G319" s="90" t="str">
        <f>G312</f>
        <v>COMPENSACIONES</v>
      </c>
      <c r="H319" s="52" t="s">
        <v>10</v>
      </c>
    </row>
    <row r="320" spans="1:8" s="24" customFormat="1" ht="45" customHeight="1">
      <c r="A320" s="43" t="s">
        <v>204</v>
      </c>
      <c r="B320" s="61" t="s">
        <v>55</v>
      </c>
      <c r="C320" s="44">
        <f>7028.8*1.05</f>
        <v>7380.2400000000007</v>
      </c>
      <c r="D320" s="44">
        <f>220*1.04*1.05</f>
        <v>240.24</v>
      </c>
      <c r="E320" s="55"/>
      <c r="F320" s="91"/>
      <c r="G320" s="84"/>
      <c r="H320" s="55">
        <f>C320-D320+G320</f>
        <v>7140.0000000000009</v>
      </c>
    </row>
    <row r="321" spans="1:8" s="24" customFormat="1" ht="51" customHeight="1">
      <c r="A321" s="68" t="s">
        <v>205</v>
      </c>
      <c r="B321" s="230" t="s">
        <v>206</v>
      </c>
      <c r="C321" s="44">
        <f>10038*1.04*1.05</f>
        <v>10961.496000000001</v>
      </c>
      <c r="D321" s="44">
        <f>441*1.04*1.05</f>
        <v>481.57200000000006</v>
      </c>
      <c r="E321" s="55"/>
      <c r="F321" s="91"/>
      <c r="G321" s="236"/>
      <c r="H321" s="55">
        <f>C321-D321+E321+G321</f>
        <v>10479.924000000001</v>
      </c>
    </row>
    <row r="322" spans="1:8" ht="51" customHeight="1">
      <c r="A322" s="8" t="s">
        <v>207</v>
      </c>
      <c r="B322" s="57" t="s">
        <v>208</v>
      </c>
      <c r="C322" s="151">
        <f>5800*1.04*1.05</f>
        <v>6333.6</v>
      </c>
      <c r="D322" s="151">
        <f>175*1.04*1.05</f>
        <v>191.1</v>
      </c>
      <c r="E322" s="20"/>
      <c r="F322" s="21"/>
      <c r="G322" s="237"/>
      <c r="H322" s="20">
        <f t="shared" ref="H322:H332" si="50">C322-D322+E322+G322</f>
        <v>6142.5</v>
      </c>
    </row>
    <row r="323" spans="1:8" s="25" customFormat="1" ht="58.5" customHeight="1">
      <c r="A323" s="8" t="s">
        <v>209</v>
      </c>
      <c r="B323" s="57" t="s">
        <v>210</v>
      </c>
      <c r="C323" s="151">
        <f>5953*1.04*1.05</f>
        <v>6500.6760000000004</v>
      </c>
      <c r="D323" s="151">
        <f>183*1.04*1.05</f>
        <v>199.83600000000001</v>
      </c>
      <c r="E323" s="20"/>
      <c r="F323" s="21"/>
      <c r="G323" s="237"/>
      <c r="H323" s="20">
        <f t="shared" si="50"/>
        <v>6300.84</v>
      </c>
    </row>
    <row r="324" spans="1:8" ht="61.5" customHeight="1">
      <c r="A324" s="45" t="s">
        <v>211</v>
      </c>
      <c r="B324" s="35" t="s">
        <v>212</v>
      </c>
      <c r="C324" s="151">
        <f>3864*1.05*1.05</f>
        <v>4260.0600000000004</v>
      </c>
      <c r="D324" s="238"/>
      <c r="E324" s="20">
        <v>136</v>
      </c>
      <c r="F324" s="21"/>
      <c r="G324" s="237"/>
      <c r="H324" s="20">
        <f t="shared" si="50"/>
        <v>4396.0600000000004</v>
      </c>
    </row>
    <row r="325" spans="1:8" ht="54.95" customHeight="1">
      <c r="A325" s="33" t="s">
        <v>213</v>
      </c>
      <c r="B325" s="57" t="s">
        <v>212</v>
      </c>
      <c r="C325" s="22">
        <f>2693*1.05*1.05</f>
        <v>2969.0325000000003</v>
      </c>
      <c r="D325" s="22"/>
      <c r="E325" s="5">
        <v>105</v>
      </c>
      <c r="F325" s="144"/>
      <c r="G325" s="237"/>
      <c r="H325" s="20">
        <f t="shared" si="50"/>
        <v>3074.0325000000003</v>
      </c>
    </row>
    <row r="326" spans="1:8" ht="68.25" customHeight="1">
      <c r="A326" s="33" t="s">
        <v>214</v>
      </c>
      <c r="B326" s="35" t="s">
        <v>215</v>
      </c>
      <c r="C326" s="22">
        <f>5478*1.04*1.05</f>
        <v>5981.9760000000006</v>
      </c>
      <c r="D326" s="169">
        <f>102.96*1.05</f>
        <v>108.108</v>
      </c>
      <c r="E326" s="20"/>
      <c r="F326" s="21"/>
      <c r="G326" s="237"/>
      <c r="H326" s="20">
        <f t="shared" si="50"/>
        <v>5873.8680000000004</v>
      </c>
    </row>
    <row r="327" spans="1:8" ht="62.25" customHeight="1">
      <c r="A327" s="45" t="s">
        <v>216</v>
      </c>
      <c r="B327" s="35" t="s">
        <v>217</v>
      </c>
      <c r="C327" s="22">
        <f>8268*1.04*1.05</f>
        <v>9028.6560000000009</v>
      </c>
      <c r="D327" s="22">
        <f>367*1.04*1.05</f>
        <v>400.76400000000001</v>
      </c>
      <c r="E327" s="20"/>
      <c r="F327" s="21"/>
      <c r="G327" s="237"/>
      <c r="H327" s="20">
        <f t="shared" si="50"/>
        <v>8627.8920000000016</v>
      </c>
    </row>
    <row r="328" spans="1:8" ht="63" customHeight="1">
      <c r="A328" s="45" t="s">
        <v>218</v>
      </c>
      <c r="B328" s="35" t="s">
        <v>219</v>
      </c>
      <c r="C328" s="22">
        <f>4006*1.05*1.05</f>
        <v>4416.6150000000007</v>
      </c>
      <c r="D328" s="22"/>
      <c r="E328" s="20">
        <v>90</v>
      </c>
      <c r="G328" s="237"/>
      <c r="H328" s="20">
        <f t="shared" si="50"/>
        <v>4506.6150000000007</v>
      </c>
    </row>
    <row r="329" spans="1:8" ht="63" customHeight="1">
      <c r="A329" s="45" t="s">
        <v>220</v>
      </c>
      <c r="B329" s="35" t="s">
        <v>221</v>
      </c>
      <c r="C329" s="22">
        <f>3428*1.05*1.05</f>
        <v>3779.3700000000003</v>
      </c>
      <c r="D329" s="22"/>
      <c r="E329" s="20">
        <v>90</v>
      </c>
      <c r="G329" s="237"/>
      <c r="H329" s="20">
        <f t="shared" si="50"/>
        <v>3869.3700000000003</v>
      </c>
    </row>
    <row r="330" spans="1:8" ht="63" customHeight="1">
      <c r="A330" s="45" t="s">
        <v>222</v>
      </c>
      <c r="B330" s="35" t="s">
        <v>221</v>
      </c>
      <c r="C330" s="22">
        <f>3658.5*1.05+350</f>
        <v>4191.4250000000002</v>
      </c>
      <c r="D330" s="22"/>
      <c r="E330" s="20">
        <v>90</v>
      </c>
      <c r="G330" s="237"/>
      <c r="H330" s="20">
        <f t="shared" si="50"/>
        <v>4281.4250000000002</v>
      </c>
    </row>
    <row r="331" spans="1:8" ht="66.75" customHeight="1">
      <c r="A331" s="45" t="s">
        <v>223</v>
      </c>
      <c r="B331" s="35" t="s">
        <v>221</v>
      </c>
      <c r="C331" s="22">
        <f>3370*1.05*1.05+350</f>
        <v>4065.4250000000002</v>
      </c>
      <c r="D331" s="22"/>
      <c r="E331" s="20">
        <v>90</v>
      </c>
      <c r="G331" s="237"/>
      <c r="H331" s="20">
        <f t="shared" si="50"/>
        <v>4155.4250000000002</v>
      </c>
    </row>
    <row r="332" spans="1:8" ht="61.5" customHeight="1">
      <c r="A332" s="45" t="s">
        <v>224</v>
      </c>
      <c r="B332" s="35" t="s">
        <v>221</v>
      </c>
      <c r="C332" s="22">
        <f>'[8]MADRE BANCO'!$G$246</f>
        <v>3910</v>
      </c>
      <c r="D332" s="22"/>
      <c r="E332" s="20">
        <v>90</v>
      </c>
      <c r="G332" s="237"/>
      <c r="H332" s="20">
        <f t="shared" si="50"/>
        <v>4000</v>
      </c>
    </row>
    <row r="333" spans="1:8" ht="61.5" customHeight="1">
      <c r="A333" s="231" t="s">
        <v>225</v>
      </c>
      <c r="B333" s="35" t="s">
        <v>221</v>
      </c>
      <c r="C333" s="22">
        <v>0</v>
      </c>
      <c r="D333" s="22">
        <v>0</v>
      </c>
      <c r="E333" s="239"/>
      <c r="F333" s="240"/>
      <c r="G333" s="237"/>
      <c r="H333" s="213">
        <f>C333-D333+E333+F333+G333</f>
        <v>0</v>
      </c>
    </row>
    <row r="334" spans="1:8" ht="51" customHeight="1">
      <c r="A334" s="232" t="s">
        <v>226</v>
      </c>
      <c r="B334" s="35" t="s">
        <v>221</v>
      </c>
      <c r="C334" s="22">
        <f t="shared" si="45"/>
        <v>6113.3625000000002</v>
      </c>
      <c r="D334" s="22">
        <f t="shared" si="42"/>
        <v>109.14750000000001</v>
      </c>
      <c r="E334" s="20"/>
      <c r="F334" s="21">
        <v>126</v>
      </c>
      <c r="G334" s="225"/>
      <c r="H334" s="20">
        <f>C334-D334+E334+F334+G334</f>
        <v>6130.2150000000001</v>
      </c>
    </row>
    <row r="335" spans="1:8" ht="63" customHeight="1">
      <c r="A335" s="33" t="s">
        <v>227</v>
      </c>
      <c r="B335" s="35" t="s">
        <v>219</v>
      </c>
      <c r="C335" s="22">
        <f>3370*1.05*1.05</f>
        <v>3715.4250000000002</v>
      </c>
      <c r="D335" s="22"/>
      <c r="E335" s="20">
        <v>90</v>
      </c>
      <c r="G335" s="237"/>
      <c r="H335" s="20">
        <f t="shared" ref="H335" si="51">C335-D335+E335+G335</f>
        <v>3805.4250000000002</v>
      </c>
    </row>
    <row r="336" spans="1:8" ht="30.95" customHeight="1">
      <c r="A336" s="58"/>
      <c r="B336" s="71" t="s">
        <v>51</v>
      </c>
      <c r="C336" s="59">
        <f t="shared" ref="C336:H336" si="52">SUM(C320:C335)</f>
        <v>83607.359000000011</v>
      </c>
      <c r="D336" s="59">
        <f t="shared" si="52"/>
        <v>1730.7674999999999</v>
      </c>
      <c r="E336" s="59">
        <f t="shared" si="52"/>
        <v>781</v>
      </c>
      <c r="F336" s="93">
        <f t="shared" si="52"/>
        <v>126</v>
      </c>
      <c r="G336" s="94">
        <f t="shared" si="52"/>
        <v>0</v>
      </c>
      <c r="H336" s="59">
        <f t="shared" si="52"/>
        <v>82783.59150000001</v>
      </c>
    </row>
    <row r="337" spans="1:8" ht="15" customHeight="1">
      <c r="A337" s="325"/>
      <c r="B337" s="325"/>
      <c r="C337" s="325"/>
      <c r="D337" s="325"/>
      <c r="E337" s="325"/>
      <c r="F337" s="326"/>
      <c r="G337" s="327"/>
      <c r="H337" s="325"/>
    </row>
    <row r="338" spans="1:8" ht="24.75" customHeight="1">
      <c r="A338" s="51" t="s">
        <v>3</v>
      </c>
      <c r="B338" s="52" t="s">
        <v>4</v>
      </c>
      <c r="C338" s="52" t="s">
        <v>5</v>
      </c>
      <c r="D338" s="52" t="s">
        <v>6</v>
      </c>
      <c r="E338" s="52" t="s">
        <v>7</v>
      </c>
      <c r="F338" s="74" t="s">
        <v>8</v>
      </c>
      <c r="G338" s="90" t="str">
        <f>G319</f>
        <v>COMPENSACIONES</v>
      </c>
      <c r="H338" s="52" t="s">
        <v>10</v>
      </c>
    </row>
    <row r="340" spans="1:8" ht="55.5" customHeight="1">
      <c r="A340" s="45" t="s">
        <v>228</v>
      </c>
      <c r="B340" s="35" t="s">
        <v>229</v>
      </c>
      <c r="C340" s="127">
        <f>6405*1.04*1.05</f>
        <v>6994.26</v>
      </c>
      <c r="D340" s="127">
        <f>183*1.04*1.05</f>
        <v>199.83600000000001</v>
      </c>
      <c r="E340" s="142"/>
      <c r="F340" s="86"/>
      <c r="G340" s="87"/>
      <c r="H340" s="142">
        <f>C340-D340+G340</f>
        <v>6794.424</v>
      </c>
    </row>
    <row r="341" spans="1:8" ht="33" customHeight="1">
      <c r="A341" s="233"/>
      <c r="B341" s="71" t="s">
        <v>51</v>
      </c>
      <c r="C341" s="154">
        <f t="shared" ref="C341:H341" si="53">SUM(C340)</f>
        <v>6994.26</v>
      </c>
      <c r="D341" s="154">
        <f t="shared" si="53"/>
        <v>199.83600000000001</v>
      </c>
      <c r="E341" s="154">
        <f t="shared" si="53"/>
        <v>0</v>
      </c>
      <c r="F341" s="165">
        <f t="shared" si="53"/>
        <v>0</v>
      </c>
      <c r="G341" s="166">
        <f t="shared" si="53"/>
        <v>0</v>
      </c>
      <c r="H341" s="154">
        <f t="shared" si="53"/>
        <v>6794.424</v>
      </c>
    </row>
    <row r="342" spans="1:8" ht="15" customHeight="1">
      <c r="A342" s="325"/>
      <c r="B342" s="325"/>
      <c r="C342" s="325"/>
      <c r="D342" s="325"/>
      <c r="E342" s="325"/>
      <c r="F342" s="326"/>
      <c r="G342" s="327"/>
      <c r="H342" s="325"/>
    </row>
    <row r="343" spans="1:8" ht="24.75" customHeight="1">
      <c r="A343" s="51" t="s">
        <v>3</v>
      </c>
      <c r="B343" s="52" t="s">
        <v>4</v>
      </c>
      <c r="C343" s="52" t="s">
        <v>5</v>
      </c>
      <c r="D343" s="52" t="s">
        <v>6</v>
      </c>
      <c r="E343" s="52" t="s">
        <v>7</v>
      </c>
      <c r="F343" s="74" t="s">
        <v>8</v>
      </c>
      <c r="G343" s="90" t="str">
        <f>G319</f>
        <v>COMPENSACIONES</v>
      </c>
      <c r="H343" s="52" t="s">
        <v>10</v>
      </c>
    </row>
    <row r="344" spans="1:8" ht="51" customHeight="1">
      <c r="A344" s="45" t="s">
        <v>230</v>
      </c>
      <c r="B344" s="35" t="s">
        <v>231</v>
      </c>
      <c r="C344" s="22">
        <f>6592*1.04*1.05</f>
        <v>7198.4640000000009</v>
      </c>
      <c r="D344" s="22">
        <f>220*1.04*1.05</f>
        <v>240.24</v>
      </c>
      <c r="E344" s="20"/>
      <c r="F344" s="21"/>
      <c r="G344" s="85"/>
      <c r="H344" s="20">
        <f t="shared" ref="H344:H351" si="54">C344-D344+E344+G344</f>
        <v>6958.2240000000011</v>
      </c>
    </row>
    <row r="345" spans="1:8" ht="51" customHeight="1">
      <c r="A345" s="130" t="s">
        <v>232</v>
      </c>
      <c r="B345" s="234" t="s">
        <v>61</v>
      </c>
      <c r="C345" s="13">
        <f>6700.72*1.05</f>
        <v>7035.7560000000003</v>
      </c>
      <c r="D345" s="13">
        <f>192.15*1.05</f>
        <v>201.75750000000002</v>
      </c>
      <c r="E345" s="22">
        <v>183</v>
      </c>
      <c r="F345" s="241"/>
      <c r="G345" s="85"/>
      <c r="H345" s="22">
        <f t="shared" si="54"/>
        <v>7016.9985000000006</v>
      </c>
    </row>
    <row r="346" spans="1:8" ht="51" customHeight="1">
      <c r="A346" s="45" t="s">
        <v>233</v>
      </c>
      <c r="B346" s="34" t="s">
        <v>234</v>
      </c>
      <c r="C346" s="151">
        <v>0</v>
      </c>
      <c r="D346" s="151">
        <v>0</v>
      </c>
      <c r="E346" s="20"/>
      <c r="F346" s="21"/>
      <c r="G346" s="85"/>
      <c r="H346" s="20">
        <f t="shared" si="54"/>
        <v>0</v>
      </c>
    </row>
    <row r="347" spans="1:8" ht="51" customHeight="1">
      <c r="A347" s="45" t="s">
        <v>235</v>
      </c>
      <c r="B347" s="34" t="s">
        <v>234</v>
      </c>
      <c r="C347" s="22">
        <f>5853*1.04*1.05</f>
        <v>6391.4760000000006</v>
      </c>
      <c r="D347" s="22">
        <f>183*1.04*1.05</f>
        <v>199.83600000000001</v>
      </c>
      <c r="E347" s="20"/>
      <c r="F347" s="21"/>
      <c r="G347" s="85"/>
      <c r="H347" s="20">
        <f t="shared" si="54"/>
        <v>6191.64</v>
      </c>
    </row>
    <row r="348" spans="1:8" ht="51" customHeight="1">
      <c r="A348" s="45" t="s">
        <v>236</v>
      </c>
      <c r="B348" s="34" t="s">
        <v>234</v>
      </c>
      <c r="C348" s="22">
        <f>4977*1.04*1.05</f>
        <v>5434.884</v>
      </c>
      <c r="D348" s="22"/>
      <c r="E348" s="20">
        <v>90</v>
      </c>
      <c r="F348" s="21"/>
      <c r="G348" s="85"/>
      <c r="H348" s="20">
        <f t="shared" si="54"/>
        <v>5524.884</v>
      </c>
    </row>
    <row r="349" spans="1:8" ht="51" customHeight="1">
      <c r="A349" s="45" t="s">
        <v>237</v>
      </c>
      <c r="B349" s="34" t="s">
        <v>234</v>
      </c>
      <c r="C349" s="22">
        <f>4977*1.04*1.05</f>
        <v>5434.884</v>
      </c>
      <c r="D349" s="22"/>
      <c r="E349" s="20">
        <v>90</v>
      </c>
      <c r="F349" s="21"/>
      <c r="G349" s="85"/>
      <c r="H349" s="20">
        <f t="shared" si="54"/>
        <v>5524.884</v>
      </c>
    </row>
    <row r="350" spans="1:8" ht="51" customHeight="1">
      <c r="A350" s="33" t="s">
        <v>238</v>
      </c>
      <c r="B350" s="35" t="s">
        <v>239</v>
      </c>
      <c r="C350" s="22">
        <v>0</v>
      </c>
      <c r="D350" s="22"/>
      <c r="E350" s="20">
        <v>0</v>
      </c>
      <c r="F350" s="21"/>
      <c r="G350" s="85"/>
      <c r="H350" s="20">
        <f t="shared" si="54"/>
        <v>0</v>
      </c>
    </row>
    <row r="351" spans="1:8" ht="51" customHeight="1">
      <c r="A351" s="33" t="s">
        <v>240</v>
      </c>
      <c r="B351" s="125" t="s">
        <v>234</v>
      </c>
      <c r="C351" s="22">
        <f>3709*1.04*1.05</f>
        <v>4050.2280000000005</v>
      </c>
      <c r="D351" s="22"/>
      <c r="E351" s="20">
        <v>95</v>
      </c>
      <c r="F351" s="21"/>
      <c r="G351" s="85"/>
      <c r="H351" s="20">
        <f t="shared" si="54"/>
        <v>4145.228000000001</v>
      </c>
    </row>
    <row r="352" spans="1:8" ht="51" customHeight="1">
      <c r="A352" s="33" t="s">
        <v>241</v>
      </c>
      <c r="B352" s="125" t="s">
        <v>234</v>
      </c>
      <c r="C352" s="22">
        <f>'[9]MADRE BANCO'!$G$265</f>
        <v>791.4</v>
      </c>
      <c r="D352" s="22"/>
      <c r="E352" s="20"/>
      <c r="F352" s="21"/>
      <c r="G352" s="85"/>
      <c r="H352" s="20">
        <f>C352+G352</f>
        <v>791.4</v>
      </c>
    </row>
    <row r="353" spans="1:8" ht="51" customHeight="1">
      <c r="A353" s="33" t="s">
        <v>242</v>
      </c>
      <c r="B353" s="125" t="s">
        <v>243</v>
      </c>
      <c r="C353" s="22">
        <f>4977*1.04*1.05</f>
        <v>5434.884</v>
      </c>
      <c r="D353" s="22"/>
      <c r="E353" s="20">
        <v>90</v>
      </c>
      <c r="F353" s="21"/>
      <c r="G353" s="85"/>
      <c r="H353" s="20">
        <f>C353-D353+E353+G353</f>
        <v>5524.884</v>
      </c>
    </row>
    <row r="354" spans="1:8" ht="30" customHeight="1">
      <c r="A354" s="58"/>
      <c r="B354" s="71" t="s">
        <v>51</v>
      </c>
      <c r="C354" s="59">
        <f>SUM(C344:C353)</f>
        <v>41771.976000000002</v>
      </c>
      <c r="D354" s="59">
        <f t="shared" ref="D354:H354" si="55">SUM(D344:D353)</f>
        <v>641.83350000000007</v>
      </c>
      <c r="E354" s="59">
        <f t="shared" si="55"/>
        <v>548</v>
      </c>
      <c r="F354" s="93">
        <f t="shared" si="55"/>
        <v>0</v>
      </c>
      <c r="G354" s="94">
        <f t="shared" si="55"/>
        <v>0</v>
      </c>
      <c r="H354" s="59">
        <f t="shared" si="55"/>
        <v>41678.142500000002</v>
      </c>
    </row>
    <row r="355" spans="1:8" ht="15" customHeight="1">
      <c r="A355" s="325"/>
      <c r="B355" s="325"/>
      <c r="C355" s="325"/>
      <c r="D355" s="325"/>
      <c r="E355" s="325"/>
      <c r="F355" s="326"/>
      <c r="G355" s="327"/>
      <c r="H355" s="325"/>
    </row>
    <row r="356" spans="1:8" ht="24.75" customHeight="1">
      <c r="A356" s="51" t="s">
        <v>3</v>
      </c>
      <c r="B356" s="52" t="s">
        <v>4</v>
      </c>
      <c r="C356" s="52" t="s">
        <v>5</v>
      </c>
      <c r="D356" s="52" t="s">
        <v>6</v>
      </c>
      <c r="E356" s="52" t="s">
        <v>7</v>
      </c>
      <c r="F356" s="74" t="s">
        <v>8</v>
      </c>
      <c r="G356" s="90" t="str">
        <f>G343</f>
        <v>COMPENSACIONES</v>
      </c>
      <c r="H356" s="52" t="s">
        <v>10</v>
      </c>
    </row>
    <row r="357" spans="1:8" ht="40.5" customHeight="1">
      <c r="A357" s="45" t="s">
        <v>244</v>
      </c>
      <c r="B357" s="35" t="s">
        <v>245</v>
      </c>
      <c r="C357" s="22">
        <f>5936*1.04*1.05</f>
        <v>6482.112000000001</v>
      </c>
      <c r="D357" s="22">
        <f>183*1.04*1.05</f>
        <v>199.83600000000001</v>
      </c>
      <c r="E357" s="18"/>
      <c r="F357" s="19"/>
      <c r="G357" s="85"/>
      <c r="H357" s="20">
        <f>C357-D357+E357+G357</f>
        <v>6282.2760000000007</v>
      </c>
    </row>
    <row r="358" spans="1:8" ht="40.5" customHeight="1">
      <c r="A358" s="45" t="s">
        <v>246</v>
      </c>
      <c r="B358" s="35" t="s">
        <v>247</v>
      </c>
      <c r="C358" s="22">
        <f>4756*1.04*1.05</f>
        <v>5193.5519999999997</v>
      </c>
      <c r="D358" s="22">
        <f>183*1.05</f>
        <v>192.15</v>
      </c>
      <c r="E358" s="20">
        <v>90</v>
      </c>
      <c r="F358" s="21"/>
      <c r="G358" s="85"/>
      <c r="H358" s="20">
        <f t="shared" ref="H358:H359" si="56">C358-D358+E358+G358</f>
        <v>5091.402</v>
      </c>
    </row>
    <row r="359" spans="1:8" ht="40.5" customHeight="1">
      <c r="A359" s="45" t="s">
        <v>248</v>
      </c>
      <c r="B359" s="34" t="s">
        <v>249</v>
      </c>
      <c r="C359" s="22">
        <f>4067*1.04*1.05</f>
        <v>4441.1640000000007</v>
      </c>
      <c r="D359" s="22"/>
      <c r="E359" s="20">
        <v>110</v>
      </c>
      <c r="F359" s="21"/>
      <c r="G359" s="85"/>
      <c r="H359" s="20">
        <f t="shared" si="56"/>
        <v>4551.1640000000007</v>
      </c>
    </row>
    <row r="360" spans="1:8" ht="32.1" customHeight="1">
      <c r="A360" s="58"/>
      <c r="B360" s="71" t="s">
        <v>51</v>
      </c>
      <c r="C360" s="59">
        <f>SUM(C357:C359)</f>
        <v>16116.828000000001</v>
      </c>
      <c r="D360" s="59">
        <f t="shared" ref="D360:H360" si="57">SUM(D357:D359)</f>
        <v>391.98599999999999</v>
      </c>
      <c r="E360" s="59">
        <f t="shared" si="57"/>
        <v>200</v>
      </c>
      <c r="F360" s="93">
        <f t="shared" si="57"/>
        <v>0</v>
      </c>
      <c r="G360" s="94">
        <f t="shared" si="57"/>
        <v>0</v>
      </c>
      <c r="H360" s="59">
        <f t="shared" si="57"/>
        <v>15924.842000000001</v>
      </c>
    </row>
    <row r="361" spans="1:8" ht="15" customHeight="1">
      <c r="A361" s="331"/>
      <c r="B361" s="331"/>
      <c r="C361" s="331"/>
      <c r="D361" s="331"/>
      <c r="E361" s="331"/>
      <c r="F361" s="332"/>
      <c r="G361" s="333"/>
      <c r="H361" s="331"/>
    </row>
    <row r="362" spans="1:8" ht="24.75" customHeight="1">
      <c r="A362" s="51" t="s">
        <v>3</v>
      </c>
      <c r="B362" s="52" t="s">
        <v>4</v>
      </c>
      <c r="C362" s="52" t="s">
        <v>5</v>
      </c>
      <c r="D362" s="52" t="s">
        <v>6</v>
      </c>
      <c r="E362" s="52" t="s">
        <v>7</v>
      </c>
      <c r="F362" s="74" t="s">
        <v>8</v>
      </c>
      <c r="G362" s="90" t="str">
        <f>G356</f>
        <v>COMPENSACIONES</v>
      </c>
      <c r="H362" s="52" t="s">
        <v>10</v>
      </c>
    </row>
    <row r="363" spans="1:8" ht="50.1" customHeight="1">
      <c r="A363" s="33" t="s">
        <v>250</v>
      </c>
      <c r="B363" s="34" t="s">
        <v>251</v>
      </c>
      <c r="C363" s="22">
        <f>4410*1.05*1.05</f>
        <v>4862.0250000000005</v>
      </c>
      <c r="D363" s="22"/>
      <c r="E363" s="20">
        <v>90</v>
      </c>
      <c r="F363" s="21"/>
      <c r="G363" s="85"/>
      <c r="H363" s="20">
        <f>C363-D363+E363+G363</f>
        <v>4952.0250000000005</v>
      </c>
    </row>
    <row r="364" spans="1:8" ht="50.1" customHeight="1">
      <c r="A364" s="33" t="s">
        <v>253</v>
      </c>
      <c r="B364" s="34" t="s">
        <v>251</v>
      </c>
      <c r="C364" s="22">
        <f>4866*1.05</f>
        <v>5109.3</v>
      </c>
      <c r="D364" s="22"/>
      <c r="E364" s="20">
        <v>90</v>
      </c>
      <c r="F364" s="21"/>
      <c r="G364" s="85"/>
      <c r="H364" s="20">
        <f t="shared" ref="H364:H379" si="58">C364-D364+E364+G364</f>
        <v>5199.3</v>
      </c>
    </row>
    <row r="365" spans="1:8" ht="60.95" customHeight="1">
      <c r="A365" s="33" t="s">
        <v>254</v>
      </c>
      <c r="B365" s="34" t="s">
        <v>122</v>
      </c>
      <c r="C365" s="22">
        <f>4701*1.05*1.05</f>
        <v>5182.8525</v>
      </c>
      <c r="D365" s="22"/>
      <c r="E365" s="20">
        <v>90</v>
      </c>
      <c r="F365" s="21"/>
      <c r="G365" s="85"/>
      <c r="H365" s="20">
        <f t="shared" si="58"/>
        <v>5272.8525</v>
      </c>
    </row>
    <row r="366" spans="1:8" ht="45" customHeight="1">
      <c r="A366" s="33" t="s">
        <v>255</v>
      </c>
      <c r="B366" s="34" t="s">
        <v>251</v>
      </c>
      <c r="C366" s="22">
        <f>4415*1.05*1.05</f>
        <v>4867.5375000000004</v>
      </c>
      <c r="D366" s="22"/>
      <c r="E366" s="20">
        <v>90</v>
      </c>
      <c r="F366" s="21"/>
      <c r="G366" s="85"/>
      <c r="H366" s="20">
        <f t="shared" si="58"/>
        <v>4957.5375000000004</v>
      </c>
    </row>
    <row r="367" spans="1:8" ht="50.1" customHeight="1">
      <c r="A367" s="33" t="s">
        <v>256</v>
      </c>
      <c r="B367" s="34" t="s">
        <v>251</v>
      </c>
      <c r="C367" s="22">
        <f>4635.75*1.05</f>
        <v>4867.5375000000004</v>
      </c>
      <c r="D367" s="22"/>
      <c r="E367" s="20">
        <v>90</v>
      </c>
      <c r="F367" s="21"/>
      <c r="G367" s="85"/>
      <c r="H367" s="20">
        <f t="shared" si="58"/>
        <v>4957.5375000000004</v>
      </c>
    </row>
    <row r="368" spans="1:8" ht="50.1" customHeight="1">
      <c r="A368" s="45" t="s">
        <v>257</v>
      </c>
      <c r="B368" s="34" t="s">
        <v>251</v>
      </c>
      <c r="C368" s="22">
        <f>4635.75*1.05</f>
        <v>4867.5375000000004</v>
      </c>
      <c r="D368" s="22"/>
      <c r="E368" s="20">
        <v>90</v>
      </c>
      <c r="F368" s="21"/>
      <c r="G368" s="85"/>
      <c r="H368" s="20">
        <f t="shared" si="58"/>
        <v>4957.5375000000004</v>
      </c>
    </row>
    <row r="369" spans="1:8" ht="50.1" customHeight="1">
      <c r="A369" s="45" t="s">
        <v>258</v>
      </c>
      <c r="B369" s="34" t="s">
        <v>251</v>
      </c>
      <c r="C369" s="22">
        <f>3351*1.05*1.05</f>
        <v>3694.4775000000004</v>
      </c>
      <c r="D369" s="22"/>
      <c r="E369" s="20">
        <v>165</v>
      </c>
      <c r="F369" s="21"/>
      <c r="G369" s="85"/>
      <c r="H369" s="20">
        <f t="shared" si="58"/>
        <v>3859.4775000000004</v>
      </c>
    </row>
    <row r="370" spans="1:8" ht="57" customHeight="1">
      <c r="A370" s="45" t="s">
        <v>259</v>
      </c>
      <c r="B370" s="35" t="s">
        <v>260</v>
      </c>
      <c r="C370" s="22">
        <f>4707*1.05*1.05</f>
        <v>5189.4675000000007</v>
      </c>
      <c r="D370" s="22"/>
      <c r="E370" s="20">
        <v>90</v>
      </c>
      <c r="F370" s="21"/>
      <c r="G370" s="85"/>
      <c r="H370" s="20">
        <f t="shared" si="58"/>
        <v>5279.4675000000007</v>
      </c>
    </row>
    <row r="371" spans="1:8" ht="50.1" customHeight="1">
      <c r="A371" s="45" t="s">
        <v>261</v>
      </c>
      <c r="B371" s="35" t="s">
        <v>262</v>
      </c>
      <c r="C371" s="235">
        <f>2000*1.05*1.05</f>
        <v>2205</v>
      </c>
      <c r="D371" s="235"/>
      <c r="E371" s="20">
        <v>165</v>
      </c>
      <c r="F371" s="21"/>
      <c r="G371" s="85"/>
      <c r="H371" s="20">
        <f t="shared" si="58"/>
        <v>2370</v>
      </c>
    </row>
    <row r="372" spans="1:8" ht="50.1" customHeight="1">
      <c r="A372" s="33" t="s">
        <v>263</v>
      </c>
      <c r="B372" s="57" t="s">
        <v>251</v>
      </c>
      <c r="C372" s="22">
        <f>4200*1.05</f>
        <v>4410</v>
      </c>
      <c r="D372" s="22"/>
      <c r="E372" s="20">
        <v>111</v>
      </c>
      <c r="F372" s="21"/>
      <c r="G372" s="85"/>
      <c r="H372" s="20">
        <f t="shared" si="58"/>
        <v>4521</v>
      </c>
    </row>
    <row r="373" spans="1:8" ht="50.1" customHeight="1">
      <c r="A373" s="45" t="s">
        <v>264</v>
      </c>
      <c r="B373" s="34" t="s">
        <v>122</v>
      </c>
      <c r="C373" s="22">
        <f>4942*1.05</f>
        <v>5189.1000000000004</v>
      </c>
      <c r="D373" s="22"/>
      <c r="E373" s="20">
        <f>E368</f>
        <v>90</v>
      </c>
      <c r="F373" s="21"/>
      <c r="G373" s="85"/>
      <c r="H373" s="20">
        <f t="shared" si="58"/>
        <v>5279.1</v>
      </c>
    </row>
    <row r="374" spans="1:8" ht="50.1" customHeight="1">
      <c r="A374" s="33" t="s">
        <v>265</v>
      </c>
      <c r="B374" s="57" t="s">
        <v>266</v>
      </c>
      <c r="C374" s="22">
        <f>6019*1.05*1.05</f>
        <v>6635.9475000000002</v>
      </c>
      <c r="D374" s="22">
        <f>183*1.05*1.05</f>
        <v>201.75750000000002</v>
      </c>
      <c r="E374" s="20"/>
      <c r="F374" s="21"/>
      <c r="G374" s="85"/>
      <c r="H374" s="20">
        <f t="shared" si="58"/>
        <v>6434.1900000000005</v>
      </c>
    </row>
    <row r="375" spans="1:8" ht="50.1" customHeight="1">
      <c r="A375" s="33" t="s">
        <v>267</v>
      </c>
      <c r="B375" s="57" t="s">
        <v>219</v>
      </c>
      <c r="C375" s="22">
        <f>4415*1.05*1.05</f>
        <v>4867.5375000000004</v>
      </c>
      <c r="D375" s="22"/>
      <c r="E375" s="20">
        <v>90</v>
      </c>
      <c r="F375" s="21"/>
      <c r="G375" s="85"/>
      <c r="H375" s="20">
        <f t="shared" si="58"/>
        <v>4957.5375000000004</v>
      </c>
    </row>
    <row r="376" spans="1:8" ht="50.1" customHeight="1">
      <c r="A376" s="45" t="s">
        <v>268</v>
      </c>
      <c r="B376" s="185" t="s">
        <v>129</v>
      </c>
      <c r="C376" s="22">
        <f>4415*1.05*1.05</f>
        <v>4867.5375000000004</v>
      </c>
      <c r="D376" s="22"/>
      <c r="E376" s="20">
        <v>90</v>
      </c>
      <c r="F376" s="21"/>
      <c r="G376" s="85"/>
      <c r="H376" s="20">
        <f t="shared" si="58"/>
        <v>4957.5375000000004</v>
      </c>
    </row>
    <row r="377" spans="1:8" ht="50.1" customHeight="1">
      <c r="A377" s="45" t="s">
        <v>269</v>
      </c>
      <c r="B377" s="185" t="s">
        <v>270</v>
      </c>
      <c r="C377" s="22">
        <f>3610.95*1.05</f>
        <v>3791.4974999999999</v>
      </c>
      <c r="D377" s="22"/>
      <c r="E377" s="20">
        <v>95</v>
      </c>
      <c r="F377" s="21"/>
      <c r="G377" s="85"/>
      <c r="H377" s="20">
        <f t="shared" si="58"/>
        <v>3886.4974999999999</v>
      </c>
    </row>
    <row r="378" spans="1:8" ht="50.1" customHeight="1">
      <c r="A378" s="45" t="s">
        <v>271</v>
      </c>
      <c r="B378" s="185" t="s">
        <v>270</v>
      </c>
      <c r="C378" s="22">
        <f>4415*1.05*1.05</f>
        <v>4867.5375000000004</v>
      </c>
      <c r="D378" s="22"/>
      <c r="E378" s="20">
        <v>90</v>
      </c>
      <c r="F378" s="21"/>
      <c r="G378" s="85"/>
      <c r="H378" s="20">
        <f t="shared" si="58"/>
        <v>4957.5375000000004</v>
      </c>
    </row>
    <row r="379" spans="1:8" ht="50.1" customHeight="1">
      <c r="A379" s="45" t="s">
        <v>272</v>
      </c>
      <c r="B379" s="35" t="s">
        <v>270</v>
      </c>
      <c r="C379" s="22">
        <f>3520*1.05*1.05</f>
        <v>3880.8</v>
      </c>
      <c r="D379" s="22"/>
      <c r="E379" s="20">
        <v>90</v>
      </c>
      <c r="F379" s="21"/>
      <c r="G379" s="85"/>
      <c r="H379" s="20">
        <f t="shared" si="58"/>
        <v>3970.8</v>
      </c>
    </row>
    <row r="380" spans="1:8" ht="35.1" customHeight="1">
      <c r="A380" s="219"/>
      <c r="B380" s="71" t="s">
        <v>51</v>
      </c>
      <c r="C380" s="59">
        <f>SUM(C363:C379)</f>
        <v>79355.692500000005</v>
      </c>
      <c r="D380" s="59">
        <f t="shared" ref="D380:H380" si="59">SUM(D363:D379)</f>
        <v>201.75750000000002</v>
      </c>
      <c r="E380" s="59">
        <f t="shared" si="59"/>
        <v>1616</v>
      </c>
      <c r="F380" s="93">
        <f t="shared" si="59"/>
        <v>0</v>
      </c>
      <c r="G380" s="94">
        <f t="shared" si="59"/>
        <v>0</v>
      </c>
      <c r="H380" s="59">
        <f t="shared" si="59"/>
        <v>80769.935000000012</v>
      </c>
    </row>
    <row r="381" spans="1:8" ht="15" customHeight="1">
      <c r="A381" s="325"/>
      <c r="B381" s="325"/>
      <c r="C381" s="325"/>
      <c r="D381" s="325"/>
      <c r="E381" s="325"/>
      <c r="F381" s="326"/>
      <c r="G381" s="327"/>
      <c r="H381" s="325"/>
    </row>
    <row r="382" spans="1:8" ht="24.75" customHeight="1">
      <c r="A382" s="51" t="s">
        <v>3</v>
      </c>
      <c r="B382" s="52" t="s">
        <v>4</v>
      </c>
      <c r="C382" s="52" t="s">
        <v>5</v>
      </c>
      <c r="D382" s="52" t="s">
        <v>6</v>
      </c>
      <c r="E382" s="52" t="s">
        <v>7</v>
      </c>
      <c r="F382" s="74" t="s">
        <v>8</v>
      </c>
      <c r="G382" s="90" t="str">
        <f>G362</f>
        <v>COMPENSACIONES</v>
      </c>
      <c r="H382" s="52" t="s">
        <v>10</v>
      </c>
    </row>
    <row r="383" spans="1:8" ht="42.75" customHeight="1">
      <c r="A383" s="45" t="s">
        <v>273</v>
      </c>
      <c r="B383" s="35" t="s">
        <v>274</v>
      </c>
      <c r="C383" s="22">
        <f>6272*1.04*1.05</f>
        <v>6849.0240000000003</v>
      </c>
      <c r="D383" s="22">
        <f>183*1.04*1.05</f>
        <v>199.83600000000001</v>
      </c>
      <c r="E383" s="20"/>
      <c r="F383" s="21"/>
      <c r="G383" s="85"/>
      <c r="H383" s="20">
        <f>C383-D383+E383+G383</f>
        <v>6649.1880000000001</v>
      </c>
    </row>
    <row r="384" spans="1:8" ht="57" customHeight="1">
      <c r="A384" s="33" t="s">
        <v>275</v>
      </c>
      <c r="B384" s="57" t="s">
        <v>276</v>
      </c>
      <c r="C384" s="22">
        <f>4415*1.05*1.05</f>
        <v>4867.5375000000004</v>
      </c>
      <c r="D384" s="22"/>
      <c r="E384" s="20">
        <v>90</v>
      </c>
      <c r="F384" s="21"/>
      <c r="G384" s="85"/>
      <c r="H384" s="20">
        <f t="shared" ref="H384:H390" si="60">C384-D384+E384+G384</f>
        <v>4957.5375000000004</v>
      </c>
    </row>
    <row r="385" spans="1:8" ht="45.75" customHeight="1">
      <c r="A385" s="45" t="s">
        <v>277</v>
      </c>
      <c r="B385" s="57" t="s">
        <v>276</v>
      </c>
      <c r="C385" s="22">
        <f>4415*1.05*1.05</f>
        <v>4867.5375000000004</v>
      </c>
      <c r="D385" s="248"/>
      <c r="E385" s="249">
        <v>90</v>
      </c>
      <c r="F385" s="250"/>
      <c r="G385" s="85"/>
      <c r="H385" s="20">
        <f t="shared" si="60"/>
        <v>4957.5375000000004</v>
      </c>
    </row>
    <row r="386" spans="1:8" s="6" customFormat="1" ht="45" customHeight="1">
      <c r="A386" s="33" t="s">
        <v>278</v>
      </c>
      <c r="B386" s="57" t="s">
        <v>279</v>
      </c>
      <c r="C386" s="22">
        <f>4415*1.05*1.05</f>
        <v>4867.5375000000004</v>
      </c>
      <c r="D386" s="22"/>
      <c r="E386" s="20">
        <v>90</v>
      </c>
      <c r="F386" s="21"/>
      <c r="G386" s="85"/>
      <c r="H386" s="20">
        <f t="shared" si="60"/>
        <v>4957.5375000000004</v>
      </c>
    </row>
    <row r="387" spans="1:8" s="6" customFormat="1" ht="45" customHeight="1">
      <c r="A387" s="33" t="s">
        <v>280</v>
      </c>
      <c r="B387" s="57" t="s">
        <v>281</v>
      </c>
      <c r="C387" s="22">
        <f>4415*1.05*1.05</f>
        <v>4867.5375000000004</v>
      </c>
      <c r="D387" s="22"/>
      <c r="E387" s="20">
        <v>90</v>
      </c>
      <c r="F387" s="21"/>
      <c r="G387" s="85"/>
      <c r="H387" s="20">
        <f t="shared" si="60"/>
        <v>4957.5375000000004</v>
      </c>
    </row>
    <row r="388" spans="1:8" s="6" customFormat="1" ht="57.95" customHeight="1">
      <c r="A388" s="33" t="s">
        <v>282</v>
      </c>
      <c r="B388" s="125" t="s">
        <v>221</v>
      </c>
      <c r="C388" s="22">
        <f>4817*1.04*1.05</f>
        <v>5260.1640000000007</v>
      </c>
      <c r="D388" s="176">
        <f>99*1.04*1.05</f>
        <v>108.10800000000002</v>
      </c>
      <c r="E388" s="20"/>
      <c r="F388" s="21"/>
      <c r="G388" s="85"/>
      <c r="H388" s="20">
        <f t="shared" si="60"/>
        <v>5152.0560000000005</v>
      </c>
    </row>
    <row r="389" spans="1:8" s="6" customFormat="1" ht="51.75" customHeight="1">
      <c r="A389" s="45" t="s">
        <v>283</v>
      </c>
      <c r="B389" s="185" t="s">
        <v>221</v>
      </c>
      <c r="C389" s="22">
        <f>3286*1.05*1.05</f>
        <v>3622.8150000000005</v>
      </c>
      <c r="D389" s="22"/>
      <c r="E389" s="20">
        <v>120</v>
      </c>
      <c r="F389" s="21"/>
      <c r="G389" s="85"/>
      <c r="H389" s="20">
        <f t="shared" si="60"/>
        <v>3742.8150000000005</v>
      </c>
    </row>
    <row r="390" spans="1:8" s="6" customFormat="1" ht="54" customHeight="1">
      <c r="A390" s="33" t="s">
        <v>284</v>
      </c>
      <c r="B390" s="242" t="s">
        <v>285</v>
      </c>
      <c r="C390" s="22">
        <f>6232.3*1.05+595</f>
        <v>7138.9150000000009</v>
      </c>
      <c r="D390" s="22">
        <f>126*1.05*1.05</f>
        <v>138.91500000000002</v>
      </c>
      <c r="E390" s="20"/>
      <c r="F390" s="21"/>
      <c r="G390" s="85"/>
      <c r="H390" s="20">
        <f t="shared" si="60"/>
        <v>7000.0000000000009</v>
      </c>
    </row>
    <row r="391" spans="1:8" s="6" customFormat="1" ht="29.1" customHeight="1">
      <c r="A391" s="58"/>
      <c r="B391" s="71" t="s">
        <v>51</v>
      </c>
      <c r="C391" s="59">
        <f t="shared" ref="C391:H391" si="61">SUM(C383:C390)</f>
        <v>42341.067999999999</v>
      </c>
      <c r="D391" s="59">
        <f t="shared" si="61"/>
        <v>446.85900000000004</v>
      </c>
      <c r="E391" s="59">
        <f t="shared" si="61"/>
        <v>480</v>
      </c>
      <c r="F391" s="93">
        <f t="shared" si="61"/>
        <v>0</v>
      </c>
      <c r="G391" s="94">
        <f t="shared" si="61"/>
        <v>0</v>
      </c>
      <c r="H391" s="59">
        <f t="shared" si="61"/>
        <v>42374.208999999995</v>
      </c>
    </row>
    <row r="392" spans="1:8" s="6" customFormat="1" ht="15" customHeight="1">
      <c r="A392" s="325"/>
      <c r="B392" s="325"/>
      <c r="C392" s="325"/>
      <c r="D392" s="325"/>
      <c r="E392" s="325"/>
      <c r="F392" s="326"/>
      <c r="G392" s="327"/>
      <c r="H392" s="325"/>
    </row>
    <row r="393" spans="1:8" s="6" customFormat="1" ht="24.75" customHeight="1">
      <c r="A393" s="51" t="s">
        <v>3</v>
      </c>
      <c r="B393" s="52" t="s">
        <v>4</v>
      </c>
      <c r="C393" s="52" t="s">
        <v>5</v>
      </c>
      <c r="D393" s="52" t="s">
        <v>6</v>
      </c>
      <c r="E393" s="52" t="s">
        <v>7</v>
      </c>
      <c r="F393" s="74" t="s">
        <v>8</v>
      </c>
      <c r="G393" s="90" t="str">
        <f>G382</f>
        <v>COMPENSACIONES</v>
      </c>
      <c r="H393" s="52" t="s">
        <v>10</v>
      </c>
    </row>
    <row r="394" spans="1:8" s="6" customFormat="1" ht="51" customHeight="1">
      <c r="A394" s="45" t="s">
        <v>286</v>
      </c>
      <c r="B394" s="35" t="s">
        <v>287</v>
      </c>
      <c r="C394" s="22">
        <f>3511*1.05*1.05</f>
        <v>3870.8775000000005</v>
      </c>
      <c r="D394" s="20"/>
      <c r="E394" s="20">
        <v>130</v>
      </c>
      <c r="F394" s="21"/>
      <c r="G394" s="85"/>
      <c r="H394" s="20">
        <f>C394-D394+E394+G394</f>
        <v>4000.8775000000005</v>
      </c>
    </row>
    <row r="395" spans="1:8" s="6" customFormat="1" ht="27.95" customHeight="1">
      <c r="A395" s="58"/>
      <c r="B395" s="71" t="s">
        <v>51</v>
      </c>
      <c r="C395" s="223">
        <f>SUM(C394)</f>
        <v>3870.8775000000005</v>
      </c>
      <c r="D395" s="223">
        <f t="shared" ref="D395:H395" si="62">SUM(D394)</f>
        <v>0</v>
      </c>
      <c r="E395" s="223">
        <f t="shared" si="62"/>
        <v>130</v>
      </c>
      <c r="F395" s="227">
        <f t="shared" si="62"/>
        <v>0</v>
      </c>
      <c r="G395" s="228">
        <f t="shared" si="62"/>
        <v>0</v>
      </c>
      <c r="H395" s="223">
        <f t="shared" si="62"/>
        <v>4000.8775000000005</v>
      </c>
    </row>
    <row r="396" spans="1:8" s="6" customFormat="1" ht="39" customHeight="1">
      <c r="A396" s="58"/>
      <c r="B396" s="71" t="s">
        <v>288</v>
      </c>
      <c r="C396" s="243">
        <f t="shared" ref="C396:H396" si="63">SUM(C336+C341+C354+C360+C380+C391+C395)</f>
        <v>274058.06100000005</v>
      </c>
      <c r="D396" s="243">
        <f t="shared" si="63"/>
        <v>3613.0394999999999</v>
      </c>
      <c r="E396" s="243">
        <f t="shared" si="63"/>
        <v>3755</v>
      </c>
      <c r="F396" s="251">
        <f t="shared" si="63"/>
        <v>126</v>
      </c>
      <c r="G396" s="252">
        <f t="shared" si="63"/>
        <v>0</v>
      </c>
      <c r="H396" s="243">
        <f t="shared" si="63"/>
        <v>274326.02149999997</v>
      </c>
    </row>
    <row r="397" spans="1:8" s="6" customFormat="1" ht="15" customHeight="1">
      <c r="A397" s="319"/>
      <c r="B397" s="319"/>
      <c r="C397" s="319"/>
      <c r="D397" s="319"/>
      <c r="E397" s="319"/>
      <c r="F397" s="320"/>
      <c r="G397" s="321"/>
      <c r="H397" s="319"/>
    </row>
    <row r="398" spans="1:8" s="6" customFormat="1" ht="15" customHeight="1">
      <c r="A398" s="319"/>
      <c r="B398" s="319"/>
      <c r="C398" s="319"/>
      <c r="D398" s="319"/>
      <c r="E398" s="319"/>
      <c r="F398" s="320"/>
      <c r="G398" s="321"/>
      <c r="H398" s="319"/>
    </row>
    <row r="399" spans="1:8" s="6" customFormat="1" ht="15" customHeight="1">
      <c r="A399" s="100"/>
      <c r="B399" s="100" t="str">
        <f>A3</f>
        <v>Nómina que corresponde a la 2DA  (SEGUNDA    ) quincena del mes de MAYO de 2023.</v>
      </c>
      <c r="C399" s="100"/>
      <c r="D399" s="100"/>
      <c r="E399" s="100"/>
      <c r="F399" s="124"/>
      <c r="G399" s="99"/>
      <c r="H399" s="100"/>
    </row>
    <row r="400" spans="1:8" s="6" customFormat="1" ht="15" customHeight="1">
      <c r="A400" s="17"/>
      <c r="B400" s="17" t="s">
        <v>289</v>
      </c>
      <c r="C400" s="17"/>
      <c r="D400" s="17"/>
      <c r="E400" s="17"/>
      <c r="F400" s="23"/>
      <c r="G400" s="101"/>
      <c r="H400" s="17"/>
    </row>
    <row r="401" spans="1:8" s="6" customFormat="1" ht="24.75" customHeight="1">
      <c r="A401" s="51" t="s">
        <v>3</v>
      </c>
      <c r="B401" s="52" t="s">
        <v>4</v>
      </c>
      <c r="C401" s="52" t="s">
        <v>5</v>
      </c>
      <c r="D401" s="52" t="s">
        <v>6</v>
      </c>
      <c r="E401" s="52" t="s">
        <v>7</v>
      </c>
      <c r="F401" s="74" t="s">
        <v>8</v>
      </c>
      <c r="G401" s="90" t="str">
        <f>G393</f>
        <v>COMPENSACIONES</v>
      </c>
      <c r="H401" s="52" t="s">
        <v>10</v>
      </c>
    </row>
    <row r="402" spans="1:8" s="6" customFormat="1" ht="51" customHeight="1">
      <c r="A402" s="8" t="s">
        <v>290</v>
      </c>
      <c r="B402" s="34" t="s">
        <v>291</v>
      </c>
      <c r="C402" s="22">
        <f>5087*1.04*1.05</f>
        <v>5555.0040000000008</v>
      </c>
      <c r="D402" s="22">
        <f>154*1.04*1.05</f>
        <v>168.16800000000001</v>
      </c>
      <c r="E402" s="20"/>
      <c r="F402" s="21"/>
      <c r="G402" s="85"/>
      <c r="H402" s="20">
        <f>C402-D402+E402+G402</f>
        <v>5386.8360000000011</v>
      </c>
    </row>
    <row r="403" spans="1:8" s="6" customFormat="1" ht="51" customHeight="1">
      <c r="A403" s="222" t="s">
        <v>292</v>
      </c>
      <c r="B403" s="34" t="s">
        <v>291</v>
      </c>
      <c r="C403" s="22">
        <f>6339.84*1.05</f>
        <v>6656.8320000000003</v>
      </c>
      <c r="D403" s="22">
        <f>190.32*1.05</f>
        <v>199.83600000000001</v>
      </c>
      <c r="E403" s="20"/>
      <c r="F403" s="21"/>
      <c r="G403" s="85"/>
      <c r="H403" s="20">
        <f t="shared" ref="H403:H410" si="64">C403-D403+E403+G403</f>
        <v>6456.9960000000001</v>
      </c>
    </row>
    <row r="404" spans="1:8" s="6" customFormat="1" ht="51" customHeight="1">
      <c r="A404" s="8" t="s">
        <v>293</v>
      </c>
      <c r="B404" s="34" t="s">
        <v>291</v>
      </c>
      <c r="C404" s="22">
        <f>5087*1.04*1.05</f>
        <v>5555.0040000000008</v>
      </c>
      <c r="D404" s="22">
        <f>154*1.04*1.05</f>
        <v>168.16800000000001</v>
      </c>
      <c r="E404" s="20"/>
      <c r="F404" s="21"/>
      <c r="G404" s="85"/>
      <c r="H404" s="20">
        <f t="shared" si="64"/>
        <v>5386.8360000000011</v>
      </c>
    </row>
    <row r="405" spans="1:8" s="6" customFormat="1" ht="51" customHeight="1">
      <c r="A405" s="45" t="s">
        <v>294</v>
      </c>
      <c r="B405" s="125" t="s">
        <v>291</v>
      </c>
      <c r="C405" s="22">
        <f>4058*1.04*1.05</f>
        <v>4431.3360000000002</v>
      </c>
      <c r="D405" s="22"/>
      <c r="E405" s="20">
        <v>95</v>
      </c>
      <c r="F405" s="21"/>
      <c r="G405" s="85"/>
      <c r="H405" s="20">
        <f t="shared" si="64"/>
        <v>4526.3360000000002</v>
      </c>
    </row>
    <row r="406" spans="1:8" s="6" customFormat="1" ht="51" customHeight="1">
      <c r="A406" s="33" t="s">
        <v>295</v>
      </c>
      <c r="B406" s="125" t="s">
        <v>296</v>
      </c>
      <c r="C406" s="22">
        <f>4058*1.04*1.05</f>
        <v>4431.3360000000002</v>
      </c>
      <c r="D406" s="22"/>
      <c r="E406" s="20">
        <v>95</v>
      </c>
      <c r="F406" s="21"/>
      <c r="G406" s="85"/>
      <c r="H406" s="20">
        <f t="shared" si="64"/>
        <v>4526.3360000000002</v>
      </c>
    </row>
    <row r="407" spans="1:8" s="6" customFormat="1" ht="51" customHeight="1">
      <c r="A407" s="33" t="s">
        <v>297</v>
      </c>
      <c r="B407" s="57" t="s">
        <v>298</v>
      </c>
      <c r="C407" s="22">
        <f>4058*1.04*1.05</f>
        <v>4431.3360000000002</v>
      </c>
      <c r="D407" s="22"/>
      <c r="E407" s="20">
        <v>95</v>
      </c>
      <c r="F407" s="21"/>
      <c r="G407" s="85"/>
      <c r="H407" s="20">
        <f t="shared" si="64"/>
        <v>4526.3360000000002</v>
      </c>
    </row>
    <row r="408" spans="1:8" ht="51" customHeight="1">
      <c r="A408" s="33" t="s">
        <v>299</v>
      </c>
      <c r="B408" s="57" t="s">
        <v>298</v>
      </c>
      <c r="C408" s="22">
        <f>5545*1.05*1.05</f>
        <v>6113.3625000000002</v>
      </c>
      <c r="D408" s="22">
        <f>99*1.05*1.05</f>
        <v>109.14750000000001</v>
      </c>
      <c r="E408" s="20"/>
      <c r="F408" s="21">
        <v>126</v>
      </c>
      <c r="G408" s="85"/>
      <c r="H408" s="20">
        <f>C408-D408+E408+F408+G408</f>
        <v>6130.2150000000001</v>
      </c>
    </row>
    <row r="409" spans="1:8" ht="65.099999999999994" customHeight="1">
      <c r="A409" s="244" t="s">
        <v>300</v>
      </c>
      <c r="B409" s="57" t="s">
        <v>298</v>
      </c>
      <c r="C409" s="22">
        <f>6498*1.05*1.05</f>
        <v>7164.045000000001</v>
      </c>
      <c r="D409" s="22">
        <f>220*1.05*1.05</f>
        <v>242.55</v>
      </c>
      <c r="E409" s="22"/>
      <c r="F409" s="253">
        <v>175</v>
      </c>
      <c r="G409" s="85"/>
      <c r="H409" s="20">
        <f>C409-D409+E409+F409+G409</f>
        <v>7096.4950000000008</v>
      </c>
    </row>
    <row r="410" spans="1:8" s="6" customFormat="1" ht="72">
      <c r="A410" s="33" t="s">
        <v>301</v>
      </c>
      <c r="B410" s="57" t="s">
        <v>298</v>
      </c>
      <c r="C410" s="22">
        <f>4058*1.04*1.05</f>
        <v>4431.3360000000002</v>
      </c>
      <c r="D410" s="22"/>
      <c r="E410" s="20">
        <v>95</v>
      </c>
      <c r="F410" s="21"/>
      <c r="G410" s="85"/>
      <c r="H410" s="20">
        <f t="shared" si="64"/>
        <v>4526.3360000000002</v>
      </c>
    </row>
    <row r="411" spans="1:8" s="6" customFormat="1" ht="25.5" customHeight="1">
      <c r="A411" s="245"/>
      <c r="B411" s="38" t="s">
        <v>23</v>
      </c>
      <c r="C411" s="59">
        <f t="shared" ref="C411:H411" si="65">SUM(C402:C410)</f>
        <v>48769.591500000002</v>
      </c>
      <c r="D411" s="59">
        <f t="shared" si="65"/>
        <v>887.86950000000002</v>
      </c>
      <c r="E411" s="59">
        <f t="shared" si="65"/>
        <v>380</v>
      </c>
      <c r="F411" s="93">
        <f t="shared" si="65"/>
        <v>301</v>
      </c>
      <c r="G411" s="94">
        <f t="shared" si="65"/>
        <v>0</v>
      </c>
      <c r="H411" s="59">
        <f t="shared" si="65"/>
        <v>48562.722000000009</v>
      </c>
    </row>
    <row r="412" spans="1:8" s="26" customFormat="1" ht="15" customHeight="1">
      <c r="A412" s="319"/>
      <c r="B412" s="319"/>
      <c r="C412" s="319"/>
      <c r="D412" s="319"/>
      <c r="E412" s="319"/>
      <c r="F412" s="320"/>
      <c r="G412" s="321"/>
      <c r="H412" s="319"/>
    </row>
    <row r="413" spans="1:8" ht="15" customHeight="1">
      <c r="A413" s="319"/>
      <c r="B413" s="319"/>
      <c r="C413" s="319"/>
      <c r="D413" s="319"/>
      <c r="E413" s="319"/>
      <c r="F413" s="320"/>
      <c r="G413" s="321"/>
      <c r="H413" s="319"/>
    </row>
    <row r="414" spans="1:8" ht="15" customHeight="1">
      <c r="A414" s="322"/>
      <c r="B414" s="322"/>
      <c r="C414" s="322"/>
      <c r="D414" s="322"/>
      <c r="E414" s="322"/>
      <c r="F414" s="323"/>
      <c r="G414" s="324"/>
      <c r="H414" s="322"/>
    </row>
    <row r="415" spans="1:8" ht="15" customHeight="1">
      <c r="A415" s="307"/>
      <c r="B415" s="307"/>
      <c r="C415" s="307"/>
      <c r="D415" s="307"/>
      <c r="E415" s="307"/>
      <c r="F415" s="308"/>
      <c r="G415" s="309"/>
      <c r="H415" s="307"/>
    </row>
    <row r="416" spans="1:8" ht="24.75" customHeight="1">
      <c r="A416" s="51" t="s">
        <v>3</v>
      </c>
      <c r="B416" s="52" t="s">
        <v>4</v>
      </c>
      <c r="C416" s="52" t="s">
        <v>5</v>
      </c>
      <c r="D416" s="52" t="s">
        <v>6</v>
      </c>
      <c r="E416" s="52" t="s">
        <v>7</v>
      </c>
      <c r="F416" s="74" t="s">
        <v>8</v>
      </c>
      <c r="G416" s="90" t="str">
        <f>G401</f>
        <v>COMPENSACIONES</v>
      </c>
      <c r="H416" s="52" t="s">
        <v>10</v>
      </c>
    </row>
    <row r="417" spans="1:8" ht="62.1" customHeight="1">
      <c r="A417" s="53" t="s">
        <v>302</v>
      </c>
      <c r="B417" s="61" t="s">
        <v>303</v>
      </c>
      <c r="C417" s="44">
        <f>6691*1.04*1.05</f>
        <v>7306.572000000001</v>
      </c>
      <c r="D417" s="44">
        <f>220*1.04*1.05</f>
        <v>240.24</v>
      </c>
      <c r="E417" s="62"/>
      <c r="F417" s="83"/>
      <c r="G417" s="84"/>
      <c r="H417" s="62">
        <f>C417-D417+E417+G417</f>
        <v>7066.3320000000012</v>
      </c>
    </row>
    <row r="418" spans="1:8" ht="57" customHeight="1">
      <c r="A418" s="45" t="s">
        <v>304</v>
      </c>
      <c r="B418" s="35" t="s">
        <v>305</v>
      </c>
      <c r="C418" s="22">
        <f>3913*1.05*1.05</f>
        <v>4314.0825000000004</v>
      </c>
      <c r="D418" s="22"/>
      <c r="E418" s="20">
        <v>120</v>
      </c>
      <c r="F418" s="21"/>
      <c r="G418" s="225"/>
      <c r="H418" s="18">
        <f t="shared" ref="H418:H419" si="66">C418-D418+E418+G418</f>
        <v>4434.0825000000004</v>
      </c>
    </row>
    <row r="419" spans="1:8" ht="60.95" customHeight="1">
      <c r="A419" s="130" t="s">
        <v>306</v>
      </c>
      <c r="B419" s="35" t="s">
        <v>307</v>
      </c>
      <c r="C419" s="127">
        <f>3241*1.05*1.05</f>
        <v>3573.2025000000003</v>
      </c>
      <c r="D419" s="127"/>
      <c r="E419" s="142">
        <v>95</v>
      </c>
      <c r="F419" s="86"/>
      <c r="G419" s="254"/>
      <c r="H419" s="142">
        <f t="shared" si="66"/>
        <v>3668.2025000000003</v>
      </c>
    </row>
    <row r="420" spans="1:8" ht="25.5" customHeight="1">
      <c r="A420" s="163"/>
      <c r="B420" s="38" t="s">
        <v>23</v>
      </c>
      <c r="C420" s="49">
        <f t="shared" ref="C420:H420" si="67">SUM(C417:C419)</f>
        <v>15193.857</v>
      </c>
      <c r="D420" s="49">
        <f t="shared" si="67"/>
        <v>240.24</v>
      </c>
      <c r="E420" s="49">
        <f t="shared" si="67"/>
        <v>215</v>
      </c>
      <c r="F420" s="88">
        <f t="shared" si="67"/>
        <v>0</v>
      </c>
      <c r="G420" s="89">
        <f t="shared" si="67"/>
        <v>0</v>
      </c>
      <c r="H420" s="49">
        <f t="shared" si="67"/>
        <v>15168.617000000002</v>
      </c>
    </row>
    <row r="421" spans="1:8" ht="15" customHeight="1">
      <c r="A421" s="319"/>
      <c r="B421" s="319"/>
      <c r="C421" s="319"/>
      <c r="D421" s="319"/>
      <c r="E421" s="319"/>
      <c r="F421" s="320"/>
      <c r="G421" s="321"/>
      <c r="H421" s="319"/>
    </row>
    <row r="422" spans="1:8" ht="15" customHeight="1">
      <c r="A422" s="319"/>
      <c r="B422" s="319"/>
      <c r="C422" s="319"/>
      <c r="D422" s="319"/>
      <c r="E422" s="319"/>
      <c r="F422" s="320"/>
      <c r="G422" s="321"/>
      <c r="H422" s="319"/>
    </row>
    <row r="423" spans="1:8" ht="15" customHeight="1">
      <c r="A423" s="322"/>
      <c r="B423" s="322"/>
      <c r="C423" s="322"/>
      <c r="D423" s="322"/>
      <c r="E423" s="322"/>
      <c r="F423" s="323"/>
      <c r="G423" s="324"/>
      <c r="H423" s="322"/>
    </row>
    <row r="424" spans="1:8" ht="15" customHeight="1">
      <c r="A424" s="307"/>
      <c r="B424" s="307"/>
      <c r="C424" s="307"/>
      <c r="D424" s="307"/>
      <c r="E424" s="307"/>
      <c r="F424" s="308"/>
      <c r="G424" s="309"/>
      <c r="H424" s="307"/>
    </row>
    <row r="425" spans="1:8" ht="24.75" customHeight="1">
      <c r="A425" s="51" t="s">
        <v>3</v>
      </c>
      <c r="B425" s="52" t="s">
        <v>4</v>
      </c>
      <c r="C425" s="52" t="s">
        <v>5</v>
      </c>
      <c r="D425" s="52" t="s">
        <v>6</v>
      </c>
      <c r="E425" s="52" t="s">
        <v>7</v>
      </c>
      <c r="F425" s="74" t="s">
        <v>8</v>
      </c>
      <c r="G425" s="90" t="str">
        <f>G416</f>
        <v>COMPENSACIONES</v>
      </c>
      <c r="H425" s="52" t="s">
        <v>10</v>
      </c>
    </row>
    <row r="426" spans="1:8" ht="45">
      <c r="A426" s="53" t="s">
        <v>308</v>
      </c>
      <c r="B426" s="246" t="s">
        <v>309</v>
      </c>
      <c r="C426" s="44">
        <f>6691*1.04*1.05</f>
        <v>7306.572000000001</v>
      </c>
      <c r="D426" s="44">
        <v>240.24</v>
      </c>
      <c r="E426" s="62"/>
      <c r="F426" s="83"/>
      <c r="G426" s="84"/>
      <c r="H426" s="62">
        <f>C426-D426+E426+G426</f>
        <v>7066.3320000000012</v>
      </c>
    </row>
    <row r="427" spans="1:8" ht="65.099999999999994" customHeight="1">
      <c r="A427" s="45" t="s">
        <v>310</v>
      </c>
      <c r="B427" s="35" t="s">
        <v>311</v>
      </c>
      <c r="C427" s="22">
        <f>4349*1.04*1.05</f>
        <v>4749.1080000000002</v>
      </c>
      <c r="D427" s="22"/>
      <c r="E427" s="18">
        <v>90</v>
      </c>
      <c r="F427" s="19"/>
      <c r="G427" s="225"/>
      <c r="H427" s="18">
        <f>C427-D427+E427+G427</f>
        <v>4839.1080000000002</v>
      </c>
    </row>
    <row r="428" spans="1:8" ht="41.1" customHeight="1">
      <c r="A428" s="160" t="s">
        <v>312</v>
      </c>
      <c r="B428" s="35" t="s">
        <v>313</v>
      </c>
      <c r="C428" s="22">
        <f>5446*1.04*1.05</f>
        <v>5947.0320000000002</v>
      </c>
      <c r="D428" s="22">
        <f>270*1.04*1.05</f>
        <v>294.84000000000003</v>
      </c>
      <c r="E428" s="18"/>
      <c r="F428" s="19"/>
      <c r="G428" s="225"/>
      <c r="H428" s="18">
        <f t="shared" ref="H428:H434" si="68">C428-D428+E428+G428</f>
        <v>5652.192</v>
      </c>
    </row>
    <row r="429" spans="1:8" ht="57.95" customHeight="1">
      <c r="A429" s="45" t="s">
        <v>314</v>
      </c>
      <c r="B429" s="35" t="s">
        <v>251</v>
      </c>
      <c r="C429" s="22">
        <v>4614</v>
      </c>
      <c r="D429" s="22"/>
      <c r="E429" s="20">
        <v>120</v>
      </c>
      <c r="F429" s="21"/>
      <c r="G429" s="225"/>
      <c r="H429" s="18">
        <f t="shared" si="68"/>
        <v>4734</v>
      </c>
    </row>
    <row r="430" spans="1:8" ht="51" customHeight="1">
      <c r="A430" s="45" t="s">
        <v>315</v>
      </c>
      <c r="B430" s="35" t="s">
        <v>305</v>
      </c>
      <c r="C430" s="22">
        <f>4432*1.05*1.05</f>
        <v>4886.2800000000007</v>
      </c>
      <c r="D430" s="22"/>
      <c r="E430" s="18">
        <v>90</v>
      </c>
      <c r="F430" s="19"/>
      <c r="G430" s="225"/>
      <c r="H430" s="18">
        <f t="shared" si="68"/>
        <v>4976.2800000000007</v>
      </c>
    </row>
    <row r="431" spans="1:8" ht="51" customHeight="1">
      <c r="A431" s="45" t="s">
        <v>316</v>
      </c>
      <c r="B431" s="35" t="s">
        <v>276</v>
      </c>
      <c r="C431" s="22">
        <f>4432*1.05*1.05</f>
        <v>4886.2800000000007</v>
      </c>
      <c r="D431" s="22"/>
      <c r="E431" s="18">
        <v>90</v>
      </c>
      <c r="F431" s="19"/>
      <c r="G431" s="225"/>
      <c r="H431" s="18">
        <f t="shared" si="68"/>
        <v>4976.2800000000007</v>
      </c>
    </row>
    <row r="432" spans="1:8" ht="51" customHeight="1">
      <c r="A432" s="45" t="s">
        <v>317</v>
      </c>
      <c r="B432" s="35" t="s">
        <v>318</v>
      </c>
      <c r="C432" s="22">
        <f>3819*1.05*1.05</f>
        <v>4210.4475000000002</v>
      </c>
      <c r="D432" s="22"/>
      <c r="E432" s="20">
        <v>129</v>
      </c>
      <c r="F432" s="21"/>
      <c r="G432" s="225"/>
      <c r="H432" s="18">
        <f t="shared" si="68"/>
        <v>4339.4475000000002</v>
      </c>
    </row>
    <row r="433" spans="1:8" ht="51" customHeight="1">
      <c r="A433" s="45" t="s">
        <v>319</v>
      </c>
      <c r="B433" s="35" t="s">
        <v>251</v>
      </c>
      <c r="C433" s="22">
        <v>4614</v>
      </c>
      <c r="D433" s="22"/>
      <c r="E433" s="18">
        <v>120</v>
      </c>
      <c r="F433" s="19"/>
      <c r="G433" s="225"/>
      <c r="H433" s="18">
        <f t="shared" si="68"/>
        <v>4734</v>
      </c>
    </row>
    <row r="434" spans="1:8" ht="51" customHeight="1">
      <c r="A434" s="33" t="s">
        <v>320</v>
      </c>
      <c r="B434" s="35" t="s">
        <v>270</v>
      </c>
      <c r="C434" s="127">
        <v>4614</v>
      </c>
      <c r="D434" s="127"/>
      <c r="E434" s="142">
        <v>120</v>
      </c>
      <c r="F434" s="86"/>
      <c r="G434" s="87"/>
      <c r="H434" s="142">
        <f t="shared" si="68"/>
        <v>4734</v>
      </c>
    </row>
    <row r="435" spans="1:8" ht="25.5" customHeight="1">
      <c r="A435" s="48"/>
      <c r="B435" s="247" t="s">
        <v>23</v>
      </c>
      <c r="C435" s="154">
        <f>SUM(C426:C434)</f>
        <v>45827.719499999999</v>
      </c>
      <c r="D435" s="49">
        <f t="shared" ref="D435:H435" si="69">SUM(D426:D434)</f>
        <v>535.08000000000004</v>
      </c>
      <c r="E435" s="49">
        <f t="shared" si="69"/>
        <v>759</v>
      </c>
      <c r="F435" s="88">
        <f t="shared" si="69"/>
        <v>0</v>
      </c>
      <c r="G435" s="89">
        <f t="shared" si="69"/>
        <v>0</v>
      </c>
      <c r="H435" s="154">
        <f t="shared" si="69"/>
        <v>46051.639500000005</v>
      </c>
    </row>
    <row r="436" spans="1:8" ht="15" customHeight="1">
      <c r="A436" s="319"/>
      <c r="B436" s="319"/>
      <c r="C436" s="319"/>
      <c r="D436" s="319"/>
      <c r="E436" s="319"/>
      <c r="F436" s="320"/>
      <c r="G436" s="321"/>
      <c r="H436" s="319"/>
    </row>
    <row r="437" spans="1:8" ht="15" customHeight="1">
      <c r="A437" s="319"/>
      <c r="B437" s="319"/>
      <c r="C437" s="319"/>
      <c r="D437" s="319"/>
      <c r="E437" s="319"/>
      <c r="F437" s="320"/>
      <c r="G437" s="321"/>
      <c r="H437" s="319"/>
    </row>
    <row r="438" spans="1:8" ht="15" customHeight="1">
      <c r="A438" s="322"/>
      <c r="B438" s="322"/>
      <c r="C438" s="322"/>
      <c r="D438" s="322"/>
      <c r="E438" s="322"/>
      <c r="F438" s="323"/>
      <c r="G438" s="324"/>
      <c r="H438" s="322"/>
    </row>
    <row r="439" spans="1:8" ht="15" customHeight="1">
      <c r="A439" s="307"/>
      <c r="B439" s="307"/>
      <c r="C439" s="307"/>
      <c r="D439" s="307"/>
      <c r="E439" s="307"/>
      <c r="F439" s="308"/>
      <c r="G439" s="309"/>
      <c r="H439" s="307"/>
    </row>
    <row r="440" spans="1:8" ht="30.75" customHeight="1">
      <c r="A440" s="51" t="s">
        <v>3</v>
      </c>
      <c r="B440" s="52" t="s">
        <v>4</v>
      </c>
      <c r="C440" s="52" t="s">
        <v>5</v>
      </c>
      <c r="D440" s="52" t="s">
        <v>6</v>
      </c>
      <c r="E440" s="52" t="s">
        <v>7</v>
      </c>
      <c r="F440" s="74" t="s">
        <v>8</v>
      </c>
      <c r="G440" s="90" t="str">
        <f>G425</f>
        <v>COMPENSACIONES</v>
      </c>
      <c r="H440" s="52" t="s">
        <v>10</v>
      </c>
    </row>
    <row r="441" spans="1:8" ht="50.1" customHeight="1">
      <c r="A441" s="43" t="s">
        <v>321</v>
      </c>
      <c r="B441" s="61" t="s">
        <v>322</v>
      </c>
      <c r="C441" s="44">
        <f>6691*1.04*1.05</f>
        <v>7306.572000000001</v>
      </c>
      <c r="D441" s="44">
        <f>220*1.04*1.05</f>
        <v>240.24</v>
      </c>
      <c r="E441" s="62"/>
      <c r="F441" s="83"/>
      <c r="G441" s="84"/>
      <c r="H441" s="62">
        <f>C441-D441+E441+G441</f>
        <v>7066.3320000000012</v>
      </c>
    </row>
    <row r="442" spans="1:8" ht="57" customHeight="1">
      <c r="A442" s="45" t="s">
        <v>323</v>
      </c>
      <c r="B442" s="35" t="s">
        <v>313</v>
      </c>
      <c r="C442" s="22">
        <f>6140*1.04*1.05</f>
        <v>6704.880000000001</v>
      </c>
      <c r="D442" s="22">
        <f>183*1.04*1.05</f>
        <v>199.83600000000001</v>
      </c>
      <c r="E442" s="18"/>
      <c r="F442" s="19"/>
      <c r="G442" s="85"/>
      <c r="H442" s="18">
        <f t="shared" ref="H442:H450" si="70">C442-D442+E442+G442</f>
        <v>6505.0440000000008</v>
      </c>
    </row>
    <row r="443" spans="1:8" ht="50.1" customHeight="1">
      <c r="A443" s="33" t="s">
        <v>324</v>
      </c>
      <c r="B443" s="57" t="s">
        <v>325</v>
      </c>
      <c r="C443" s="22">
        <f>3543*1.05*1.05</f>
        <v>3906.1575000000003</v>
      </c>
      <c r="D443" s="22"/>
      <c r="E443" s="18"/>
      <c r="F443" s="19"/>
      <c r="G443" s="85"/>
      <c r="H443" s="18">
        <f t="shared" si="70"/>
        <v>3906.1575000000003</v>
      </c>
    </row>
    <row r="444" spans="1:8" ht="57" customHeight="1">
      <c r="A444" s="45" t="s">
        <v>326</v>
      </c>
      <c r="B444" s="35" t="s">
        <v>251</v>
      </c>
      <c r="C444" s="22">
        <f>3744*1.05</f>
        <v>3931.2000000000003</v>
      </c>
      <c r="D444" s="22"/>
      <c r="E444" s="18">
        <v>130</v>
      </c>
      <c r="F444" s="19"/>
      <c r="G444" s="85"/>
      <c r="H444" s="18">
        <f t="shared" si="70"/>
        <v>4061.2000000000003</v>
      </c>
    </row>
    <row r="445" spans="1:8" ht="54.95" customHeight="1">
      <c r="A445" s="45" t="s">
        <v>327</v>
      </c>
      <c r="B445" s="35" t="s">
        <v>251</v>
      </c>
      <c r="C445" s="22">
        <f>3543*1.05*1.05</f>
        <v>3906.1575000000003</v>
      </c>
      <c r="D445" s="22"/>
      <c r="E445" s="18">
        <v>130</v>
      </c>
      <c r="F445" s="19"/>
      <c r="G445" s="85"/>
      <c r="H445" s="18">
        <f t="shared" si="70"/>
        <v>4036.1575000000003</v>
      </c>
    </row>
    <row r="446" spans="1:8" ht="50.1" customHeight="1">
      <c r="A446" s="45" t="s">
        <v>328</v>
      </c>
      <c r="B446" s="35" t="s">
        <v>305</v>
      </c>
      <c r="C446" s="22">
        <f>4067*1.05*1.05</f>
        <v>4483.8675000000003</v>
      </c>
      <c r="D446" s="22"/>
      <c r="E446" s="18">
        <v>110</v>
      </c>
      <c r="F446" s="19"/>
      <c r="G446" s="85"/>
      <c r="H446" s="18">
        <f t="shared" si="70"/>
        <v>4593.8675000000003</v>
      </c>
    </row>
    <row r="447" spans="1:8" ht="54.95" customHeight="1">
      <c r="A447" s="33" t="s">
        <v>329</v>
      </c>
      <c r="B447" s="57" t="s">
        <v>330</v>
      </c>
      <c r="C447" s="22">
        <f>4013*1.05*1.05</f>
        <v>4424.3325000000004</v>
      </c>
      <c r="D447" s="22"/>
      <c r="E447" s="20">
        <v>110</v>
      </c>
      <c r="F447" s="21"/>
      <c r="G447" s="85"/>
      <c r="H447" s="18">
        <f t="shared" si="70"/>
        <v>4534.3325000000004</v>
      </c>
    </row>
    <row r="448" spans="1:8" ht="50.1" customHeight="1">
      <c r="A448" s="33" t="s">
        <v>331</v>
      </c>
      <c r="B448" s="57" t="s">
        <v>332</v>
      </c>
      <c r="C448" s="22">
        <f>2347*1.05*1.05</f>
        <v>2587.5675000000001</v>
      </c>
      <c r="D448" s="22"/>
      <c r="E448" s="20">
        <v>150</v>
      </c>
      <c r="F448" s="21"/>
      <c r="G448" s="85"/>
      <c r="H448" s="18">
        <f t="shared" si="70"/>
        <v>2737.5675000000001</v>
      </c>
    </row>
    <row r="449" spans="1:8" ht="50.1" customHeight="1">
      <c r="A449" s="33" t="s">
        <v>333</v>
      </c>
      <c r="B449" s="57" t="s">
        <v>334</v>
      </c>
      <c r="C449" s="22">
        <f>3587.85*1.05</f>
        <v>3767.2425000000003</v>
      </c>
      <c r="D449" s="22"/>
      <c r="E449" s="20"/>
      <c r="F449" s="21"/>
      <c r="G449" s="85"/>
      <c r="H449" s="18">
        <f t="shared" si="70"/>
        <v>3767.2425000000003</v>
      </c>
    </row>
    <row r="450" spans="1:8" ht="50.1" customHeight="1">
      <c r="A450" s="45" t="s">
        <v>335</v>
      </c>
      <c r="B450" s="35" t="s">
        <v>234</v>
      </c>
      <c r="C450" s="22">
        <f>3329*1.05*1.05</f>
        <v>3670.2225000000003</v>
      </c>
      <c r="D450" s="22"/>
      <c r="E450" s="20">
        <v>140</v>
      </c>
      <c r="F450" s="21"/>
      <c r="G450" s="85"/>
      <c r="H450" s="18">
        <f t="shared" si="70"/>
        <v>3810.2225000000003</v>
      </c>
    </row>
    <row r="451" spans="1:8" ht="25.5" customHeight="1">
      <c r="A451" s="58"/>
      <c r="B451" s="187" t="s">
        <v>336</v>
      </c>
      <c r="C451" s="59">
        <f t="shared" ref="C451:H451" si="71">SUM(C441:C450)</f>
        <v>44688.199500000002</v>
      </c>
      <c r="D451" s="59">
        <f t="shared" si="71"/>
        <v>440.07600000000002</v>
      </c>
      <c r="E451" s="59">
        <f t="shared" si="71"/>
        <v>770</v>
      </c>
      <c r="F451" s="93">
        <f t="shared" si="71"/>
        <v>0</v>
      </c>
      <c r="G451" s="94">
        <f t="shared" si="71"/>
        <v>0</v>
      </c>
      <c r="H451" s="59">
        <f t="shared" si="71"/>
        <v>45018.123500000002</v>
      </c>
    </row>
    <row r="452" spans="1:8" ht="15" customHeight="1">
      <c r="A452" s="325"/>
      <c r="B452" s="325"/>
      <c r="C452" s="325"/>
      <c r="D452" s="325"/>
      <c r="E452" s="325"/>
      <c r="F452" s="326"/>
      <c r="G452" s="327"/>
      <c r="H452" s="325"/>
    </row>
    <row r="453" spans="1:8" ht="24.75" customHeight="1">
      <c r="A453" s="51" t="s">
        <v>3</v>
      </c>
      <c r="B453" s="52" t="s">
        <v>4</v>
      </c>
      <c r="C453" s="52" t="s">
        <v>5</v>
      </c>
      <c r="D453" s="52" t="s">
        <v>6</v>
      </c>
      <c r="E453" s="52" t="s">
        <v>7</v>
      </c>
      <c r="F453" s="74" t="s">
        <v>8</v>
      </c>
      <c r="G453" s="90" t="str">
        <f>G440</f>
        <v>COMPENSACIONES</v>
      </c>
      <c r="H453" s="52" t="s">
        <v>10</v>
      </c>
    </row>
    <row r="454" spans="1:8" ht="48.95" customHeight="1">
      <c r="A454" s="156" t="s">
        <v>337</v>
      </c>
      <c r="B454" s="57" t="s">
        <v>338</v>
      </c>
      <c r="C454" s="22">
        <f>3500*1.04*1.05</f>
        <v>3822</v>
      </c>
      <c r="D454" s="261"/>
      <c r="E454" s="52"/>
      <c r="F454" s="74"/>
      <c r="G454" s="262"/>
      <c r="H454" s="20">
        <f>C454+G454</f>
        <v>3822</v>
      </c>
    </row>
    <row r="455" spans="1:8" s="3" customFormat="1" ht="50.1" customHeight="1">
      <c r="A455" s="33" t="s">
        <v>339</v>
      </c>
      <c r="B455" s="57" t="s">
        <v>340</v>
      </c>
      <c r="C455" s="22">
        <f>2915*1.05*1.05</f>
        <v>3213.7874999999999</v>
      </c>
      <c r="D455" s="22"/>
      <c r="E455" s="20">
        <v>155</v>
      </c>
      <c r="F455" s="21"/>
      <c r="G455" s="262"/>
      <c r="H455" s="18">
        <f>C455-D455+E455+G455</f>
        <v>3368.7874999999999</v>
      </c>
    </row>
    <row r="456" spans="1:8" ht="25.5" customHeight="1">
      <c r="A456" s="219"/>
      <c r="B456" s="255" t="s">
        <v>341</v>
      </c>
      <c r="C456" s="256">
        <f>SUM(C454:C455)</f>
        <v>7035.7875000000004</v>
      </c>
      <c r="D456" s="256">
        <f t="shared" ref="D456:H456" si="72">SUM(D454:D455)</f>
        <v>0</v>
      </c>
      <c r="E456" s="256">
        <f t="shared" si="72"/>
        <v>155</v>
      </c>
      <c r="F456" s="263">
        <f t="shared" si="72"/>
        <v>0</v>
      </c>
      <c r="G456" s="264">
        <f t="shared" si="72"/>
        <v>0</v>
      </c>
      <c r="H456" s="256">
        <f t="shared" si="72"/>
        <v>7190.7875000000004</v>
      </c>
    </row>
    <row r="457" spans="1:8" ht="30" customHeight="1">
      <c r="A457" s="48"/>
      <c r="B457" s="71" t="s">
        <v>342</v>
      </c>
      <c r="C457" s="243">
        <f>SUM(C451+C456)</f>
        <v>51723.987000000001</v>
      </c>
      <c r="D457" s="243">
        <f t="shared" ref="D457:H457" si="73">SUM(D451+D456)</f>
        <v>440.07600000000002</v>
      </c>
      <c r="E457" s="243">
        <f t="shared" si="73"/>
        <v>925</v>
      </c>
      <c r="F457" s="251">
        <f t="shared" si="73"/>
        <v>0</v>
      </c>
      <c r="G457" s="252">
        <f t="shared" si="73"/>
        <v>0</v>
      </c>
      <c r="H457" s="243">
        <f t="shared" si="73"/>
        <v>52208.911</v>
      </c>
    </row>
    <row r="458" spans="1:8" ht="15" customHeight="1">
      <c r="A458" s="313"/>
      <c r="B458" s="313"/>
      <c r="C458" s="313"/>
      <c r="D458" s="313"/>
      <c r="E458" s="313"/>
      <c r="F458" s="314"/>
      <c r="G458" s="315"/>
      <c r="H458" s="313"/>
    </row>
    <row r="459" spans="1:8" ht="15" customHeight="1">
      <c r="A459" s="313"/>
      <c r="B459" s="313"/>
      <c r="C459" s="313"/>
      <c r="D459" s="313"/>
      <c r="E459" s="313"/>
      <c r="F459" s="314"/>
      <c r="G459" s="315"/>
      <c r="H459" s="313"/>
    </row>
    <row r="460" spans="1:8" ht="15" customHeight="1">
      <c r="A460" s="328"/>
      <c r="B460" s="328"/>
      <c r="C460" s="328"/>
      <c r="D460" s="328"/>
      <c r="E460" s="328"/>
      <c r="F460" s="329"/>
      <c r="G460" s="330"/>
      <c r="H460" s="328"/>
    </row>
    <row r="461" spans="1:8" ht="15" customHeight="1">
      <c r="A461" s="307"/>
      <c r="B461" s="307"/>
      <c r="C461" s="307"/>
      <c r="D461" s="307"/>
      <c r="E461" s="307"/>
      <c r="F461" s="308"/>
      <c r="G461" s="309"/>
      <c r="H461" s="307"/>
    </row>
    <row r="462" spans="1:8" ht="24.75" customHeight="1">
      <c r="A462" s="51" t="s">
        <v>3</v>
      </c>
      <c r="B462" s="52" t="s">
        <v>4</v>
      </c>
      <c r="C462" s="52" t="s">
        <v>5</v>
      </c>
      <c r="D462" s="52" t="s">
        <v>6</v>
      </c>
      <c r="E462" s="52" t="s">
        <v>7</v>
      </c>
      <c r="F462" s="74" t="s">
        <v>8</v>
      </c>
      <c r="G462" s="90" t="str">
        <f>G453</f>
        <v>COMPENSACIONES</v>
      </c>
      <c r="H462" s="52" t="s">
        <v>10</v>
      </c>
    </row>
    <row r="463" spans="1:8" ht="54.95" customHeight="1">
      <c r="A463" s="45" t="s">
        <v>343</v>
      </c>
      <c r="B463" s="34" t="s">
        <v>344</v>
      </c>
      <c r="C463" s="22">
        <f>1548*1.04*1.05</f>
        <v>1690.4160000000002</v>
      </c>
      <c r="D463" s="18"/>
      <c r="E463" s="18">
        <v>175</v>
      </c>
      <c r="F463" s="265"/>
      <c r="G463" s="85"/>
      <c r="H463" s="20">
        <f>C463-D463+E463+G463</f>
        <v>1865.4160000000002</v>
      </c>
    </row>
    <row r="464" spans="1:8" ht="53.1" customHeight="1">
      <c r="A464" s="45" t="s">
        <v>345</v>
      </c>
      <c r="B464" s="34" t="s">
        <v>344</v>
      </c>
      <c r="C464" s="22">
        <f>1548*1.04*1.05</f>
        <v>1690.4160000000002</v>
      </c>
      <c r="D464" s="18"/>
      <c r="E464" s="18">
        <v>175</v>
      </c>
      <c r="F464" s="265"/>
      <c r="G464" s="85"/>
      <c r="H464" s="20">
        <f t="shared" ref="H464:H501" si="74">C464-D464+E464+G464</f>
        <v>1865.4160000000002</v>
      </c>
    </row>
    <row r="465" spans="1:8" ht="54" customHeight="1">
      <c r="A465" s="45" t="s">
        <v>346</v>
      </c>
      <c r="B465" s="34" t="s">
        <v>344</v>
      </c>
      <c r="C465" s="22">
        <f>2055*1.04*1.05</f>
        <v>2244.0600000000004</v>
      </c>
      <c r="D465" s="18"/>
      <c r="E465" s="18">
        <v>167</v>
      </c>
      <c r="F465" s="265"/>
      <c r="G465" s="85"/>
      <c r="H465" s="20">
        <f t="shared" si="74"/>
        <v>2411.0600000000004</v>
      </c>
    </row>
    <row r="466" spans="1:8" ht="47.1" customHeight="1">
      <c r="A466" s="45" t="s">
        <v>347</v>
      </c>
      <c r="B466" s="34" t="s">
        <v>344</v>
      </c>
      <c r="C466" s="22">
        <f>3114*1.04*1.05</f>
        <v>3400.4880000000003</v>
      </c>
      <c r="D466" s="18"/>
      <c r="E466" s="18">
        <v>142</v>
      </c>
      <c r="F466" s="265"/>
      <c r="G466" s="85"/>
      <c r="H466" s="20">
        <f t="shared" si="74"/>
        <v>3542.4880000000003</v>
      </c>
    </row>
    <row r="467" spans="1:8" ht="60.95" customHeight="1">
      <c r="A467" s="45" t="s">
        <v>348</v>
      </c>
      <c r="B467" s="34" t="s">
        <v>344</v>
      </c>
      <c r="C467" s="22">
        <f>1377*1.04*1.05</f>
        <v>1503.6840000000002</v>
      </c>
      <c r="D467" s="18"/>
      <c r="E467" s="18">
        <v>175</v>
      </c>
      <c r="F467" s="265"/>
      <c r="G467" s="85"/>
      <c r="H467" s="20">
        <f t="shared" si="74"/>
        <v>1678.6840000000002</v>
      </c>
    </row>
    <row r="468" spans="1:8" ht="51.95" customHeight="1">
      <c r="A468" s="45" t="s">
        <v>349</v>
      </c>
      <c r="B468" s="34" t="s">
        <v>344</v>
      </c>
      <c r="C468" s="22">
        <f>3616*1.04*1.05</f>
        <v>3948.6720000000005</v>
      </c>
      <c r="D468" s="18"/>
      <c r="E468" s="18">
        <v>129</v>
      </c>
      <c r="F468" s="265"/>
      <c r="G468" s="85"/>
      <c r="H468" s="20">
        <f t="shared" si="74"/>
        <v>4077.6720000000005</v>
      </c>
    </row>
    <row r="469" spans="1:8" ht="59.1" customHeight="1">
      <c r="A469" s="45" t="s">
        <v>350</v>
      </c>
      <c r="B469" s="34" t="s">
        <v>344</v>
      </c>
      <c r="C469" s="22">
        <f>4415*1.04*1.05</f>
        <v>4821.18</v>
      </c>
      <c r="D469" s="18"/>
      <c r="E469" s="18">
        <v>90</v>
      </c>
      <c r="F469" s="265"/>
      <c r="G469" s="85"/>
      <c r="H469" s="20">
        <f t="shared" si="74"/>
        <v>4911.18</v>
      </c>
    </row>
    <row r="470" spans="1:8" ht="54">
      <c r="A470" s="45" t="s">
        <v>351</v>
      </c>
      <c r="B470" s="34" t="s">
        <v>344</v>
      </c>
      <c r="C470" s="22">
        <f>4946.24*1.05</f>
        <v>5193.5519999999997</v>
      </c>
      <c r="D470" s="18"/>
      <c r="E470" s="18">
        <v>90</v>
      </c>
      <c r="F470" s="265"/>
      <c r="G470" s="85"/>
      <c r="H470" s="20">
        <f t="shared" si="74"/>
        <v>5283.5519999999997</v>
      </c>
    </row>
    <row r="471" spans="1:8" ht="53.1" customHeight="1">
      <c r="A471" s="45" t="s">
        <v>352</v>
      </c>
      <c r="B471" s="34" t="s">
        <v>344</v>
      </c>
      <c r="C471" s="22">
        <f>4415*1.04*1.05</f>
        <v>4821.18</v>
      </c>
      <c r="D471" s="18"/>
      <c r="E471" s="18">
        <v>90</v>
      </c>
      <c r="F471" s="265"/>
      <c r="G471" s="85"/>
      <c r="H471" s="20">
        <f t="shared" si="74"/>
        <v>4911.18</v>
      </c>
    </row>
    <row r="472" spans="1:8" ht="53.1" customHeight="1">
      <c r="A472" s="45" t="s">
        <v>353</v>
      </c>
      <c r="B472" s="34" t="s">
        <v>344</v>
      </c>
      <c r="C472" s="22">
        <f>4415*1.04*1.05</f>
        <v>4821.18</v>
      </c>
      <c r="D472" s="18"/>
      <c r="E472" s="18">
        <v>90</v>
      </c>
      <c r="F472" s="265"/>
      <c r="G472" s="85"/>
      <c r="H472" s="20">
        <f t="shared" si="74"/>
        <v>4911.18</v>
      </c>
    </row>
    <row r="473" spans="1:8" ht="56.1" customHeight="1">
      <c r="A473" s="45" t="s">
        <v>354</v>
      </c>
      <c r="B473" s="34" t="s">
        <v>344</v>
      </c>
      <c r="C473" s="22">
        <f>4415*1.04*1.05</f>
        <v>4821.18</v>
      </c>
      <c r="D473" s="18"/>
      <c r="E473" s="18">
        <v>90</v>
      </c>
      <c r="F473" s="265"/>
      <c r="G473" s="85"/>
      <c r="H473" s="20">
        <f t="shared" si="74"/>
        <v>4911.18</v>
      </c>
    </row>
    <row r="474" spans="1:8" ht="57" customHeight="1">
      <c r="A474" s="45" t="s">
        <v>355</v>
      </c>
      <c r="B474" s="34" t="s">
        <v>344</v>
      </c>
      <c r="C474" s="22">
        <f>4067*1.04*1.05</f>
        <v>4441.1640000000007</v>
      </c>
      <c r="D474" s="18"/>
      <c r="E474" s="18">
        <v>111</v>
      </c>
      <c r="F474" s="265"/>
      <c r="G474" s="85"/>
      <c r="H474" s="20">
        <f t="shared" si="74"/>
        <v>4552.1640000000007</v>
      </c>
    </row>
    <row r="475" spans="1:8" ht="57" customHeight="1">
      <c r="A475" s="45" t="s">
        <v>356</v>
      </c>
      <c r="B475" s="34" t="s">
        <v>344</v>
      </c>
      <c r="C475" s="22">
        <f>3026*1.04*1.05</f>
        <v>3304.3920000000003</v>
      </c>
      <c r="D475" s="18"/>
      <c r="E475" s="18">
        <v>142</v>
      </c>
      <c r="F475" s="19"/>
      <c r="G475" s="85"/>
      <c r="H475" s="20">
        <f t="shared" si="74"/>
        <v>3446.3920000000003</v>
      </c>
    </row>
    <row r="476" spans="1:8" ht="65.099999999999994" customHeight="1">
      <c r="A476" s="45" t="s">
        <v>357</v>
      </c>
      <c r="B476" s="34" t="s">
        <v>344</v>
      </c>
      <c r="C476" s="22">
        <f>4415*1.04*1.05</f>
        <v>4821.18</v>
      </c>
      <c r="D476" s="18"/>
      <c r="E476" s="18">
        <v>90</v>
      </c>
      <c r="F476" s="19"/>
      <c r="G476" s="85"/>
      <c r="H476" s="20">
        <f t="shared" si="74"/>
        <v>4911.18</v>
      </c>
    </row>
    <row r="477" spans="1:8" ht="63" customHeight="1">
      <c r="A477" s="45" t="s">
        <v>358</v>
      </c>
      <c r="B477" s="34" t="s">
        <v>344</v>
      </c>
      <c r="C477" s="22">
        <f>3742*1.04*1.05</f>
        <v>4086.2640000000006</v>
      </c>
      <c r="D477" s="18"/>
      <c r="E477" s="18">
        <v>129</v>
      </c>
      <c r="F477" s="19"/>
      <c r="G477" s="85"/>
      <c r="H477" s="20">
        <f t="shared" si="74"/>
        <v>4215.264000000001</v>
      </c>
    </row>
    <row r="478" spans="1:8" ht="53.1" customHeight="1">
      <c r="A478" s="45" t="s">
        <v>359</v>
      </c>
      <c r="B478" s="34" t="s">
        <v>344</v>
      </c>
      <c r="C478" s="22">
        <f>8202*1.04*1.05</f>
        <v>8956.5840000000007</v>
      </c>
      <c r="D478" s="18"/>
      <c r="E478" s="18"/>
      <c r="F478" s="19"/>
      <c r="G478" s="85"/>
      <c r="H478" s="20">
        <f t="shared" si="74"/>
        <v>8956.5840000000007</v>
      </c>
    </row>
    <row r="479" spans="1:8" ht="63" customHeight="1">
      <c r="A479" s="45" t="s">
        <v>360</v>
      </c>
      <c r="B479" s="34" t="s">
        <v>344</v>
      </c>
      <c r="C479" s="22">
        <f>2651*1.04*1.05</f>
        <v>2894.8920000000003</v>
      </c>
      <c r="D479" s="18"/>
      <c r="E479" s="18">
        <v>142</v>
      </c>
      <c r="F479" s="19"/>
      <c r="G479" s="85"/>
      <c r="H479" s="20">
        <f t="shared" si="74"/>
        <v>3036.8920000000003</v>
      </c>
    </row>
    <row r="480" spans="1:8" ht="53.1" customHeight="1">
      <c r="A480" s="33" t="s">
        <v>361</v>
      </c>
      <c r="B480" s="34" t="s">
        <v>344</v>
      </c>
      <c r="C480" s="22">
        <f>4415*1.04*1.05</f>
        <v>4821.18</v>
      </c>
      <c r="D480" s="20"/>
      <c r="E480" s="20">
        <v>90</v>
      </c>
      <c r="F480" s="21"/>
      <c r="G480" s="85"/>
      <c r="H480" s="20">
        <f t="shared" si="74"/>
        <v>4911.18</v>
      </c>
    </row>
    <row r="481" spans="1:8" ht="60" customHeight="1">
      <c r="A481" s="45" t="s">
        <v>362</v>
      </c>
      <c r="B481" s="35" t="s">
        <v>363</v>
      </c>
      <c r="C481" s="22">
        <f>3784*1.04*1.05</f>
        <v>4132.1280000000006</v>
      </c>
      <c r="D481" s="177"/>
      <c r="E481" s="177">
        <v>90</v>
      </c>
      <c r="F481" s="178"/>
      <c r="G481" s="85"/>
      <c r="H481" s="20">
        <f t="shared" si="74"/>
        <v>4222.1280000000006</v>
      </c>
    </row>
    <row r="482" spans="1:8" ht="60" customHeight="1">
      <c r="A482" s="45" t="s">
        <v>364</v>
      </c>
      <c r="B482" s="35" t="s">
        <v>363</v>
      </c>
      <c r="C482" s="22">
        <f>3312*1.04*1.05</f>
        <v>3616.7040000000002</v>
      </c>
      <c r="D482" s="177"/>
      <c r="E482" s="177">
        <v>138</v>
      </c>
      <c r="F482" s="178"/>
      <c r="G482" s="85"/>
      <c r="H482" s="20">
        <f t="shared" si="74"/>
        <v>3754.7040000000002</v>
      </c>
    </row>
    <row r="483" spans="1:8" ht="59.1" customHeight="1">
      <c r="A483" s="257" t="s">
        <v>365</v>
      </c>
      <c r="B483" s="125" t="s">
        <v>363</v>
      </c>
      <c r="C483" s="258">
        <f>3709*1.04*1.05</f>
        <v>4050.2280000000005</v>
      </c>
      <c r="D483" s="167"/>
      <c r="E483" s="167">
        <v>129</v>
      </c>
      <c r="F483" s="168"/>
      <c r="G483" s="85"/>
      <c r="H483" s="20">
        <f t="shared" si="74"/>
        <v>4179.228000000001</v>
      </c>
    </row>
    <row r="484" spans="1:8" ht="66" customHeight="1">
      <c r="A484" s="45" t="s">
        <v>366</v>
      </c>
      <c r="B484" s="35" t="s">
        <v>367</v>
      </c>
      <c r="C484" s="22">
        <f>2646*1.04*1.05</f>
        <v>2889.4320000000002</v>
      </c>
      <c r="D484" s="20"/>
      <c r="E484" s="20">
        <v>129</v>
      </c>
      <c r="F484" s="21"/>
      <c r="G484" s="85"/>
      <c r="H484" s="20">
        <f t="shared" si="74"/>
        <v>3018.4320000000002</v>
      </c>
    </row>
    <row r="485" spans="1:8" ht="60" customHeight="1">
      <c r="A485" s="45" t="s">
        <v>368</v>
      </c>
      <c r="B485" s="35" t="s">
        <v>367</v>
      </c>
      <c r="C485" s="22">
        <f>4403*1.04*1.05</f>
        <v>4808.076</v>
      </c>
      <c r="D485" s="20"/>
      <c r="E485" s="20">
        <v>90</v>
      </c>
      <c r="F485" s="21"/>
      <c r="G485" s="85"/>
      <c r="H485" s="20">
        <f t="shared" si="74"/>
        <v>4898.076</v>
      </c>
    </row>
    <row r="486" spans="1:8" ht="66.95" customHeight="1">
      <c r="A486" s="45" t="s">
        <v>369</v>
      </c>
      <c r="B486" s="35" t="s">
        <v>363</v>
      </c>
      <c r="C486" s="22">
        <f>4067*1.04*1.05</f>
        <v>4441.1640000000007</v>
      </c>
      <c r="D486" s="18"/>
      <c r="E486" s="18">
        <v>111</v>
      </c>
      <c r="F486" s="19"/>
      <c r="G486" s="85"/>
      <c r="H486" s="20">
        <f t="shared" si="74"/>
        <v>4552.1640000000007</v>
      </c>
    </row>
    <row r="487" spans="1:8" ht="62.1" customHeight="1">
      <c r="A487" s="45" t="s">
        <v>370</v>
      </c>
      <c r="B487" s="185" t="s">
        <v>367</v>
      </c>
      <c r="C487" s="22">
        <f>7215*1.04*1.05</f>
        <v>7878.7800000000007</v>
      </c>
      <c r="D487" s="20"/>
      <c r="E487" s="20"/>
      <c r="F487" s="21"/>
      <c r="G487" s="85"/>
      <c r="H487" s="20">
        <f t="shared" si="74"/>
        <v>7878.7800000000007</v>
      </c>
    </row>
    <row r="488" spans="1:8" ht="62.1" customHeight="1">
      <c r="A488" s="33" t="s">
        <v>371</v>
      </c>
      <c r="B488" s="35" t="s">
        <v>367</v>
      </c>
      <c r="C488" s="22">
        <f>4415*1.04*1.05</f>
        <v>4821.18</v>
      </c>
      <c r="D488" s="167"/>
      <c r="E488" s="167">
        <v>90</v>
      </c>
      <c r="F488" s="168"/>
      <c r="G488" s="85"/>
      <c r="H488" s="20">
        <f t="shared" si="74"/>
        <v>4911.18</v>
      </c>
    </row>
    <row r="489" spans="1:8" ht="53.1" customHeight="1">
      <c r="A489" s="33" t="s">
        <v>372</v>
      </c>
      <c r="B489" s="35" t="s">
        <v>363</v>
      </c>
      <c r="C489" s="22">
        <f>6515*1.04*1.05</f>
        <v>7114.380000000001</v>
      </c>
      <c r="D489" s="167"/>
      <c r="E489" s="167"/>
      <c r="F489" s="168"/>
      <c r="G489" s="85"/>
      <c r="H489" s="20">
        <f t="shared" si="74"/>
        <v>7114.380000000001</v>
      </c>
    </row>
    <row r="490" spans="1:8" ht="53.1" customHeight="1">
      <c r="A490" s="33" t="s">
        <v>373</v>
      </c>
      <c r="B490" s="35" t="s">
        <v>363</v>
      </c>
      <c r="C490" s="22">
        <f>7215*1.04*1.05</f>
        <v>7878.7800000000007</v>
      </c>
      <c r="D490" s="167"/>
      <c r="E490" s="167"/>
      <c r="F490" s="168"/>
      <c r="G490" s="85"/>
      <c r="H490" s="20">
        <f t="shared" si="74"/>
        <v>7878.7800000000007</v>
      </c>
    </row>
    <row r="491" spans="1:8" ht="54">
      <c r="A491" s="45" t="s">
        <v>374</v>
      </c>
      <c r="B491" s="185" t="s">
        <v>363</v>
      </c>
      <c r="C491" s="22">
        <f>6335*1.04*1.05</f>
        <v>6917.8200000000006</v>
      </c>
      <c r="D491" s="167"/>
      <c r="E491" s="167"/>
      <c r="F491" s="168"/>
      <c r="G491" s="85"/>
      <c r="H491" s="20">
        <f t="shared" si="74"/>
        <v>6917.8200000000006</v>
      </c>
    </row>
    <row r="492" spans="1:8" ht="53.1" customHeight="1">
      <c r="A492" s="45" t="s">
        <v>375</v>
      </c>
      <c r="B492" s="57" t="s">
        <v>363</v>
      </c>
      <c r="C492" s="22">
        <f>4817*1.04*1.05</f>
        <v>5260.1640000000007</v>
      </c>
      <c r="D492" s="20"/>
      <c r="E492" s="167"/>
      <c r="F492" s="168"/>
      <c r="G492" s="85"/>
      <c r="H492" s="20">
        <f t="shared" si="74"/>
        <v>5260.1640000000007</v>
      </c>
    </row>
    <row r="493" spans="1:8" ht="63" customHeight="1">
      <c r="A493" s="45" t="s">
        <v>376</v>
      </c>
      <c r="B493" s="57" t="s">
        <v>377</v>
      </c>
      <c r="C493" s="22">
        <f>8886*1.04*1.05</f>
        <v>9703.5120000000006</v>
      </c>
      <c r="D493" s="20"/>
      <c r="E493" s="167"/>
      <c r="F493" s="168"/>
      <c r="G493" s="85"/>
      <c r="H493" s="20">
        <f t="shared" si="74"/>
        <v>9703.5120000000006</v>
      </c>
    </row>
    <row r="494" spans="1:8" ht="53.1" customHeight="1">
      <c r="A494" s="45" t="s">
        <v>378</v>
      </c>
      <c r="B494" s="57" t="s">
        <v>377</v>
      </c>
      <c r="C494" s="22">
        <f>6019*1.04*1.05</f>
        <v>6572.7480000000005</v>
      </c>
      <c r="D494" s="20"/>
      <c r="E494" s="167"/>
      <c r="F494" s="168"/>
      <c r="G494" s="85"/>
      <c r="H494" s="20">
        <f t="shared" si="74"/>
        <v>6572.7480000000005</v>
      </c>
    </row>
    <row r="495" spans="1:8" ht="53.1" customHeight="1">
      <c r="A495" s="45" t="s">
        <v>379</v>
      </c>
      <c r="B495" s="57" t="s">
        <v>377</v>
      </c>
      <c r="C495" s="22">
        <f>6338*1.04*1.05</f>
        <v>6921.0960000000005</v>
      </c>
      <c r="D495" s="20"/>
      <c r="E495" s="167"/>
      <c r="F495" s="168"/>
      <c r="G495" s="85"/>
      <c r="H495" s="20">
        <f t="shared" si="74"/>
        <v>6921.0960000000005</v>
      </c>
    </row>
    <row r="496" spans="1:8" ht="53.1" customHeight="1">
      <c r="A496" s="45" t="s">
        <v>380</v>
      </c>
      <c r="B496" s="57" t="s">
        <v>377</v>
      </c>
      <c r="C496" s="22">
        <f>2891*1.04*1.05</f>
        <v>3156.9720000000007</v>
      </c>
      <c r="D496" s="20"/>
      <c r="E496" s="167">
        <v>90</v>
      </c>
      <c r="F496" s="168"/>
      <c r="G496" s="85"/>
      <c r="H496" s="20">
        <f t="shared" si="74"/>
        <v>3246.9720000000007</v>
      </c>
    </row>
    <row r="497" spans="1:8" ht="53.1" customHeight="1">
      <c r="A497" s="45" t="s">
        <v>381</v>
      </c>
      <c r="B497" s="57" t="s">
        <v>377</v>
      </c>
      <c r="C497" s="22">
        <f>4707*1.04*1.05</f>
        <v>5140.0439999999999</v>
      </c>
      <c r="D497" s="20"/>
      <c r="E497" s="167">
        <v>90</v>
      </c>
      <c r="F497" s="168"/>
      <c r="G497" s="85"/>
      <c r="H497" s="20">
        <f t="shared" si="74"/>
        <v>5230.0439999999999</v>
      </c>
    </row>
    <row r="498" spans="1:8" ht="62.1" customHeight="1">
      <c r="A498" s="33" t="s">
        <v>382</v>
      </c>
      <c r="B498" s="57" t="s">
        <v>383</v>
      </c>
      <c r="C498" s="22">
        <f>6035*1.04*1.05</f>
        <v>6590.2200000000012</v>
      </c>
      <c r="D498" s="123"/>
      <c r="E498" s="167"/>
      <c r="F498" s="168"/>
      <c r="G498" s="85"/>
      <c r="H498" s="20">
        <f t="shared" si="74"/>
        <v>6590.2200000000012</v>
      </c>
    </row>
    <row r="499" spans="1:8" ht="53.1" customHeight="1">
      <c r="A499" s="45" t="s">
        <v>384</v>
      </c>
      <c r="B499" s="57" t="s">
        <v>383</v>
      </c>
      <c r="C499" s="22">
        <f>4985.28/2*1.05</f>
        <v>2617.2719999999999</v>
      </c>
      <c r="D499" s="20"/>
      <c r="E499" s="167"/>
      <c r="F499" s="168"/>
      <c r="G499" s="85"/>
      <c r="H499" s="20">
        <f t="shared" si="74"/>
        <v>2617.2719999999999</v>
      </c>
    </row>
    <row r="500" spans="1:8" ht="53.1" customHeight="1">
      <c r="A500" s="130" t="s">
        <v>385</v>
      </c>
      <c r="B500" s="57" t="s">
        <v>383</v>
      </c>
      <c r="C500" s="22">
        <f>6173.44/2*1.05</f>
        <v>3241.056</v>
      </c>
      <c r="D500" s="20"/>
      <c r="E500" s="167"/>
      <c r="F500" s="168"/>
      <c r="G500" s="85"/>
      <c r="H500" s="20">
        <f t="shared" si="74"/>
        <v>3241.056</v>
      </c>
    </row>
    <row r="501" spans="1:8" ht="53.1" customHeight="1">
      <c r="A501" s="45" t="s">
        <v>386</v>
      </c>
      <c r="B501" s="57" t="s">
        <v>377</v>
      </c>
      <c r="C501" s="22">
        <f>3018*1.04*1.05</f>
        <v>3295.6560000000004</v>
      </c>
      <c r="D501" s="20"/>
      <c r="E501" s="167">
        <v>90</v>
      </c>
      <c r="F501" s="168"/>
      <c r="G501" s="85"/>
      <c r="H501" s="20">
        <f t="shared" si="74"/>
        <v>3385.6560000000004</v>
      </c>
    </row>
    <row r="502" spans="1:8" ht="18">
      <c r="A502" s="15"/>
      <c r="B502" s="259" t="s">
        <v>387</v>
      </c>
      <c r="C502" s="260">
        <f t="shared" ref="C502:H502" si="75">SUM(C463:C501)</f>
        <v>183329.076</v>
      </c>
      <c r="D502" s="260">
        <f t="shared" si="75"/>
        <v>0</v>
      </c>
      <c r="E502" s="260">
        <f t="shared" si="75"/>
        <v>3164</v>
      </c>
      <c r="F502" s="266">
        <f t="shared" si="75"/>
        <v>0</v>
      </c>
      <c r="G502" s="267">
        <f t="shared" si="75"/>
        <v>0</v>
      </c>
      <c r="H502" s="260">
        <f t="shared" si="75"/>
        <v>186493.076</v>
      </c>
    </row>
    <row r="503" spans="1:8" ht="15" customHeight="1">
      <c r="A503" s="307"/>
      <c r="B503" s="307"/>
      <c r="C503" s="307"/>
      <c r="D503" s="307"/>
      <c r="E503" s="307"/>
      <c r="F503" s="308"/>
      <c r="G503" s="309"/>
      <c r="H503" s="307"/>
    </row>
    <row r="504" spans="1:8" ht="48" customHeight="1">
      <c r="A504" s="45" t="s">
        <v>388</v>
      </c>
      <c r="B504" s="35" t="s">
        <v>389</v>
      </c>
      <c r="C504" s="22">
        <f>1625*1.04*1.05</f>
        <v>1774.5</v>
      </c>
      <c r="D504" s="18"/>
      <c r="E504" s="18">
        <v>175</v>
      </c>
      <c r="F504" s="19"/>
      <c r="G504" s="85"/>
      <c r="H504" s="20">
        <f>C504-D504+E504+G504</f>
        <v>1949.5</v>
      </c>
    </row>
    <row r="505" spans="1:8" ht="51" customHeight="1">
      <c r="A505" s="45" t="s">
        <v>390</v>
      </c>
      <c r="B505" s="35" t="s">
        <v>389</v>
      </c>
      <c r="C505" s="22">
        <f>1625*1.04*1.05</f>
        <v>1774.5</v>
      </c>
      <c r="D505" s="18"/>
      <c r="E505" s="18">
        <v>175</v>
      </c>
      <c r="F505" s="19"/>
      <c r="G505" s="85"/>
      <c r="H505" s="20">
        <f>C505-D505+E505+G505</f>
        <v>1949.5</v>
      </c>
    </row>
    <row r="506" spans="1:8" ht="51" customHeight="1">
      <c r="A506" s="45" t="s">
        <v>391</v>
      </c>
      <c r="B506" s="35" t="s">
        <v>389</v>
      </c>
      <c r="C506" s="22">
        <f>1625*1.04*1.05</f>
        <v>1774.5</v>
      </c>
      <c r="D506" s="18"/>
      <c r="E506" s="18">
        <v>175</v>
      </c>
      <c r="F506" s="19"/>
      <c r="G506" s="85"/>
      <c r="H506" s="20">
        <f t="shared" ref="H506:H510" si="76">C506-D506+E506+G506</f>
        <v>1949.5</v>
      </c>
    </row>
    <row r="507" spans="1:8" ht="59.1" customHeight="1">
      <c r="A507" s="45" t="s">
        <v>392</v>
      </c>
      <c r="B507" s="35" t="s">
        <v>389</v>
      </c>
      <c r="C507" s="22">
        <f>5539*1.04*1.05</f>
        <v>6048.5880000000006</v>
      </c>
      <c r="D507" s="18"/>
      <c r="E507" s="18">
        <v>30</v>
      </c>
      <c r="F507" s="265"/>
      <c r="G507" s="85"/>
      <c r="H507" s="20">
        <f t="shared" si="76"/>
        <v>6078.5880000000006</v>
      </c>
    </row>
    <row r="508" spans="1:8" ht="51" customHeight="1">
      <c r="A508" s="45" t="s">
        <v>393</v>
      </c>
      <c r="B508" s="35" t="s">
        <v>389</v>
      </c>
      <c r="C508" s="22">
        <f>611*1.04*1.05</f>
        <v>667.2120000000001</v>
      </c>
      <c r="D508" s="18"/>
      <c r="E508" s="18">
        <v>175</v>
      </c>
      <c r="F508" s="265"/>
      <c r="G508" s="85"/>
      <c r="H508" s="20">
        <f t="shared" si="76"/>
        <v>842.2120000000001</v>
      </c>
    </row>
    <row r="509" spans="1:8" ht="51" customHeight="1">
      <c r="A509" s="130" t="s">
        <v>394</v>
      </c>
      <c r="B509" s="35" t="s">
        <v>389</v>
      </c>
      <c r="C509" s="22">
        <f>3778.88/2*1.05</f>
        <v>1983.912</v>
      </c>
      <c r="D509" s="18"/>
      <c r="E509" s="18"/>
      <c r="F509" s="265"/>
      <c r="G509" s="85"/>
      <c r="H509" s="20">
        <f t="shared" si="76"/>
        <v>1983.912</v>
      </c>
    </row>
    <row r="510" spans="1:8" s="6" customFormat="1" ht="51" customHeight="1">
      <c r="A510" s="33" t="s">
        <v>395</v>
      </c>
      <c r="B510" s="35" t="s">
        <v>396</v>
      </c>
      <c r="C510" s="22">
        <f>4079*1.04*1.05</f>
        <v>4454.268</v>
      </c>
      <c r="D510" s="20"/>
      <c r="E510" s="20">
        <v>90</v>
      </c>
      <c r="F510" s="21"/>
      <c r="G510" s="85"/>
      <c r="H510" s="20">
        <f t="shared" si="76"/>
        <v>4544.268</v>
      </c>
    </row>
    <row r="511" spans="1:8" ht="30" customHeight="1">
      <c r="A511" s="58"/>
      <c r="B511" s="187" t="s">
        <v>397</v>
      </c>
      <c r="C511" s="154">
        <f t="shared" ref="C511:H511" si="77">SUM(C504:C510)</f>
        <v>18477.48</v>
      </c>
      <c r="D511" s="154">
        <f t="shared" si="77"/>
        <v>0</v>
      </c>
      <c r="E511" s="154">
        <f t="shared" si="77"/>
        <v>820</v>
      </c>
      <c r="F511" s="165">
        <f t="shared" si="77"/>
        <v>0</v>
      </c>
      <c r="G511" s="166">
        <f t="shared" si="77"/>
        <v>0</v>
      </c>
      <c r="H511" s="154">
        <f t="shared" si="77"/>
        <v>19297.48</v>
      </c>
    </row>
    <row r="512" spans="1:8" ht="30.95" customHeight="1">
      <c r="A512" s="48"/>
      <c r="B512" s="71" t="s">
        <v>398</v>
      </c>
      <c r="C512" s="243">
        <f t="shared" ref="C512:H512" si="78">C502+C511</f>
        <v>201806.55600000001</v>
      </c>
      <c r="D512" s="243">
        <f t="shared" si="78"/>
        <v>0</v>
      </c>
      <c r="E512" s="243">
        <f t="shared" si="78"/>
        <v>3984</v>
      </c>
      <c r="F512" s="251">
        <f t="shared" si="78"/>
        <v>0</v>
      </c>
      <c r="G512" s="252">
        <f t="shared" si="78"/>
        <v>0</v>
      </c>
      <c r="H512" s="243">
        <f t="shared" si="78"/>
        <v>205790.55600000001</v>
      </c>
    </row>
    <row r="513" spans="1:8" ht="15" customHeight="1">
      <c r="A513" s="313"/>
      <c r="B513" s="313"/>
      <c r="C513" s="313"/>
      <c r="D513" s="313"/>
      <c r="E513" s="313"/>
      <c r="F513" s="314"/>
      <c r="G513" s="315"/>
      <c r="H513" s="313"/>
    </row>
    <row r="514" spans="1:8" ht="15" customHeight="1">
      <c r="A514" s="313"/>
      <c r="B514" s="313"/>
      <c r="C514" s="313"/>
      <c r="D514" s="313"/>
      <c r="E514" s="313"/>
      <c r="F514" s="314"/>
      <c r="G514" s="315"/>
      <c r="H514" s="313"/>
    </row>
    <row r="515" spans="1:8" ht="15" customHeight="1">
      <c r="A515" s="316"/>
      <c r="B515" s="316"/>
      <c r="C515" s="316"/>
      <c r="D515" s="316"/>
      <c r="E515" s="316"/>
      <c r="F515" s="317"/>
      <c r="G515" s="318"/>
      <c r="H515" s="316"/>
    </row>
    <row r="516" spans="1:8" ht="15" customHeight="1">
      <c r="A516" s="307"/>
      <c r="B516" s="307"/>
      <c r="C516" s="307"/>
      <c r="D516" s="307"/>
      <c r="E516" s="307"/>
      <c r="F516" s="308"/>
      <c r="G516" s="309"/>
      <c r="H516" s="307"/>
    </row>
    <row r="517" spans="1:8" ht="24.75" customHeight="1">
      <c r="A517" s="51" t="s">
        <v>3</v>
      </c>
      <c r="B517" s="52" t="s">
        <v>4</v>
      </c>
      <c r="C517" s="52" t="s">
        <v>5</v>
      </c>
      <c r="D517" s="52" t="s">
        <v>6</v>
      </c>
      <c r="E517" s="52" t="s">
        <v>7</v>
      </c>
      <c r="F517" s="74" t="s">
        <v>8</v>
      </c>
      <c r="G517" s="90" t="s">
        <v>9</v>
      </c>
      <c r="H517" s="52" t="s">
        <v>10</v>
      </c>
    </row>
    <row r="518" spans="1:8" s="26" customFormat="1" ht="51" customHeight="1">
      <c r="A518" s="45" t="s">
        <v>399</v>
      </c>
      <c r="B518" s="35" t="s">
        <v>400</v>
      </c>
      <c r="C518" s="22">
        <f>2210*1.04*1.05</f>
        <v>2413.3200000000002</v>
      </c>
      <c r="D518" s="20"/>
      <c r="E518" s="20">
        <v>165</v>
      </c>
      <c r="F518" s="97"/>
      <c r="G518" s="85"/>
      <c r="H518" s="20">
        <f>C518-D518+E518+G518</f>
        <v>2578.3200000000002</v>
      </c>
    </row>
    <row r="519" spans="1:8" ht="25.5" customHeight="1">
      <c r="A519" s="48"/>
      <c r="B519" s="38" t="s">
        <v>23</v>
      </c>
      <c r="C519" s="59">
        <f>SUM(C518)</f>
        <v>2413.3200000000002</v>
      </c>
      <c r="D519" s="59">
        <f t="shared" ref="D519:H519" si="79">SUM(D518)</f>
        <v>0</v>
      </c>
      <c r="E519" s="59">
        <f t="shared" si="79"/>
        <v>165</v>
      </c>
      <c r="F519" s="93">
        <f t="shared" si="79"/>
        <v>0</v>
      </c>
      <c r="G519" s="94">
        <f t="shared" si="79"/>
        <v>0</v>
      </c>
      <c r="H519" s="59">
        <f t="shared" si="79"/>
        <v>2578.3200000000002</v>
      </c>
    </row>
    <row r="520" spans="1:8" ht="15" customHeight="1">
      <c r="A520" s="313"/>
      <c r="B520" s="313"/>
      <c r="C520" s="313"/>
      <c r="D520" s="313"/>
      <c r="E520" s="313"/>
      <c r="F520" s="314"/>
      <c r="G520" s="315"/>
      <c r="H520" s="313"/>
    </row>
    <row r="521" spans="1:8" ht="15" customHeight="1">
      <c r="A521" s="319"/>
      <c r="B521" s="319"/>
      <c r="C521" s="319"/>
      <c r="D521" s="319"/>
      <c r="E521" s="319"/>
      <c r="F521" s="320"/>
      <c r="G521" s="321"/>
      <c r="H521" s="319"/>
    </row>
    <row r="522" spans="1:8" ht="15" customHeight="1">
      <c r="A522" s="319"/>
      <c r="B522" s="319"/>
      <c r="C522" s="319"/>
      <c r="D522" s="319"/>
      <c r="E522" s="319"/>
      <c r="F522" s="320"/>
      <c r="G522" s="321"/>
      <c r="H522" s="319"/>
    </row>
    <row r="523" spans="1:8" ht="15" customHeight="1">
      <c r="A523" s="319"/>
      <c r="B523" s="319"/>
      <c r="C523" s="319"/>
      <c r="D523" s="319"/>
      <c r="E523" s="319"/>
      <c r="F523" s="320"/>
      <c r="G523" s="321"/>
      <c r="H523" s="319"/>
    </row>
    <row r="524" spans="1:8" ht="15" customHeight="1">
      <c r="A524" s="307"/>
      <c r="B524" s="307"/>
      <c r="C524" s="307"/>
      <c r="D524" s="307"/>
      <c r="E524" s="307"/>
      <c r="F524" s="308"/>
      <c r="G524" s="309"/>
      <c r="H524" s="307"/>
    </row>
    <row r="525" spans="1:8" ht="15" customHeight="1">
      <c r="A525" s="268" t="s">
        <v>401</v>
      </c>
      <c r="B525" s="269" t="s">
        <v>402</v>
      </c>
      <c r="C525" s="270"/>
      <c r="D525" s="172"/>
      <c r="E525" s="172"/>
      <c r="F525" s="36"/>
      <c r="G525" s="289"/>
      <c r="H525" s="172"/>
    </row>
    <row r="526" spans="1:8" ht="25.5" customHeight="1">
      <c r="A526" s="271" t="s">
        <v>403</v>
      </c>
      <c r="B526" s="272">
        <f>'[10]MADRE BANCO'!$D$412</f>
        <v>0</v>
      </c>
      <c r="C526" s="273"/>
    </row>
    <row r="527" spans="1:8" ht="25.5" customHeight="1">
      <c r="A527" s="274" t="s">
        <v>404</v>
      </c>
      <c r="B527" s="272">
        <f>'[11]MADRE BANCO'!$D$428</f>
        <v>0</v>
      </c>
      <c r="C527" s="273"/>
      <c r="E527" s="310" t="s">
        <v>405</v>
      </c>
      <c r="F527" s="311"/>
      <c r="G527" s="312"/>
    </row>
    <row r="528" spans="1:8" ht="25.5" customHeight="1">
      <c r="A528" s="275" t="s">
        <v>7</v>
      </c>
      <c r="B528" s="272">
        <f>'[11]MADRE BANCO'!$D$428</f>
        <v>0</v>
      </c>
      <c r="C528" s="276"/>
      <c r="E528" s="29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8" s="291" t="s">
        <v>406</v>
      </c>
      <c r="G528" s="292"/>
    </row>
    <row r="529" spans="1:8" ht="25.5" customHeight="1">
      <c r="A529" s="277" t="s">
        <v>407</v>
      </c>
      <c r="B529" s="278">
        <f>'[11]MADRE BANCO'!$D$428</f>
        <v>0</v>
      </c>
      <c r="C529" s="276"/>
      <c r="E529" s="29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9" s="293" t="s">
        <v>408</v>
      </c>
      <c r="G529" s="292"/>
    </row>
    <row r="530" spans="1:8" ht="25.5" customHeight="1">
      <c r="A530" s="279" t="s">
        <v>9</v>
      </c>
      <c r="B530" s="272">
        <f>'[11]MADRE BANCO'!$D$428</f>
        <v>0</v>
      </c>
      <c r="C530" s="276"/>
      <c r="D530" s="285"/>
      <c r="E530" s="294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30" s="295" t="s">
        <v>409</v>
      </c>
      <c r="G530" s="296"/>
    </row>
    <row r="531" spans="1:8" ht="25.5" customHeight="1">
      <c r="A531" s="280" t="s">
        <v>410</v>
      </c>
      <c r="B531" s="281">
        <f>'[11]MADRE BANCO'!$D$428</f>
        <v>0</v>
      </c>
      <c r="C531" s="282"/>
      <c r="D531" s="285"/>
    </row>
    <row r="532" spans="1:8" ht="25.5" customHeight="1">
      <c r="A532" s="283"/>
      <c r="B532" s="284"/>
      <c r="C532" s="285"/>
      <c r="H532" s="288"/>
    </row>
    <row r="533" spans="1:8" ht="18.75" customHeight="1">
      <c r="A533" s="286"/>
      <c r="B533" s="285"/>
      <c r="C533" s="285"/>
      <c r="H533" s="288"/>
    </row>
    <row r="534" spans="1:8" ht="18.75" customHeight="1">
      <c r="A534" s="286"/>
      <c r="B534" s="285"/>
      <c r="C534" s="285"/>
      <c r="E534" s="285"/>
      <c r="F534" s="297"/>
      <c r="G534" s="298"/>
      <c r="H534" s="288"/>
    </row>
    <row r="535" spans="1:8" ht="18.75" customHeight="1">
      <c r="A535" s="286"/>
      <c r="B535" s="285"/>
      <c r="C535" s="285"/>
      <c r="E535" s="285"/>
      <c r="F535" s="297"/>
      <c r="G535" s="298"/>
      <c r="H535" s="288"/>
    </row>
    <row r="536" spans="1:8" ht="18.75" customHeight="1">
      <c r="A536" s="286"/>
      <c r="B536" s="285"/>
      <c r="C536" s="285"/>
      <c r="E536" s="285"/>
      <c r="F536" s="297"/>
      <c r="G536" s="298"/>
      <c r="H536" s="288"/>
    </row>
    <row r="537" spans="1:8" ht="18.75" customHeight="1">
      <c r="A537" s="286"/>
      <c r="B537" s="285"/>
      <c r="C537" s="285"/>
      <c r="D537" s="285"/>
      <c r="E537" s="285"/>
      <c r="F537" s="297"/>
      <c r="G537" s="298"/>
      <c r="H537" s="288"/>
    </row>
    <row r="538" spans="1:8" ht="18.75" customHeight="1">
      <c r="A538" s="286"/>
      <c r="B538" s="285"/>
      <c r="C538" s="285"/>
      <c r="D538" s="285"/>
      <c r="E538" s="285"/>
      <c r="F538" s="297"/>
      <c r="G538" s="298"/>
      <c r="H538" s="288"/>
    </row>
    <row r="539" spans="1:8" ht="18.75" customHeight="1">
      <c r="A539" s="286"/>
      <c r="B539" s="285"/>
      <c r="C539" s="285"/>
      <c r="D539" s="285"/>
      <c r="E539" s="285"/>
      <c r="F539" s="297"/>
      <c r="G539" s="298"/>
      <c r="H539" s="288"/>
    </row>
    <row r="540" spans="1:8" ht="18.75" customHeight="1">
      <c r="A540" s="286"/>
      <c r="B540" s="285"/>
      <c r="C540" s="285"/>
      <c r="D540" s="285"/>
      <c r="E540" s="285"/>
      <c r="F540" s="297"/>
      <c r="G540" s="298"/>
      <c r="H540" s="288"/>
    </row>
    <row r="541" spans="1:8" ht="18.75" customHeight="1">
      <c r="A541" s="286"/>
      <c r="B541" s="285"/>
      <c r="C541" s="285"/>
      <c r="D541" s="285"/>
      <c r="E541" s="285"/>
      <c r="F541" s="297"/>
      <c r="G541" s="298"/>
      <c r="H541" s="288"/>
    </row>
    <row r="542" spans="1:8" ht="18.75" customHeight="1">
      <c r="A542" s="286"/>
      <c r="B542" s="285"/>
      <c r="C542" s="285"/>
      <c r="D542" s="285"/>
      <c r="E542" s="285"/>
      <c r="F542" s="297"/>
      <c r="G542" s="298"/>
      <c r="H542" s="288"/>
    </row>
    <row r="543" spans="1:8" ht="18.75" customHeight="1">
      <c r="A543" s="286"/>
      <c r="B543" s="285"/>
      <c r="C543" s="285"/>
      <c r="D543" s="285"/>
      <c r="E543" s="285"/>
      <c r="F543" s="297"/>
      <c r="G543" s="298"/>
      <c r="H543" s="288"/>
    </row>
    <row r="544" spans="1:8" ht="18.75" customHeight="1">
      <c r="A544" s="286"/>
      <c r="B544" s="285"/>
      <c r="C544" s="285"/>
      <c r="D544" s="285"/>
      <c r="E544" s="285"/>
      <c r="F544" s="297"/>
      <c r="G544" s="298"/>
      <c r="H544" s="288"/>
    </row>
    <row r="545" spans="1:8" ht="18.75" customHeight="1">
      <c r="A545" s="286"/>
      <c r="B545" s="285"/>
      <c r="C545" s="285"/>
      <c r="D545" s="285"/>
      <c r="E545" s="285"/>
      <c r="F545" s="297"/>
      <c r="G545" s="298"/>
      <c r="H545" s="288"/>
    </row>
    <row r="546" spans="1:8" ht="18.75" customHeight="1">
      <c r="A546" s="286"/>
      <c r="B546" s="285"/>
      <c r="C546" s="285"/>
      <c r="D546" s="285"/>
      <c r="E546" s="285"/>
      <c r="F546" s="297"/>
      <c r="G546" s="298"/>
      <c r="H546" s="288"/>
    </row>
    <row r="547" spans="1:8" ht="18.75" customHeight="1">
      <c r="A547" s="286"/>
      <c r="B547" s="285"/>
      <c r="C547" s="285"/>
      <c r="D547" s="299"/>
      <c r="E547" s="285" t="s">
        <v>252</v>
      </c>
      <c r="F547" s="297"/>
      <c r="G547" s="298"/>
      <c r="H547" s="288"/>
    </row>
    <row r="548" spans="1:8" ht="18.75" customHeight="1">
      <c r="A548" s="286"/>
      <c r="B548" s="285"/>
      <c r="C548" s="285"/>
      <c r="D548" s="285"/>
      <c r="E548" s="285"/>
      <c r="F548" s="297"/>
      <c r="G548" s="298"/>
      <c r="H548" s="288"/>
    </row>
    <row r="549" spans="1:8" ht="18.75" customHeight="1">
      <c r="A549" s="286"/>
      <c r="B549" s="285"/>
      <c r="C549" s="285"/>
      <c r="D549" s="285"/>
      <c r="E549" s="285"/>
      <c r="F549" s="297"/>
      <c r="G549" s="298"/>
      <c r="H549" s="288"/>
    </row>
    <row r="550" spans="1:8" ht="18.75" customHeight="1">
      <c r="A550" s="286"/>
      <c r="B550" s="285"/>
      <c r="C550" s="285"/>
      <c r="D550" s="285"/>
      <c r="E550" s="285"/>
      <c r="F550" s="297"/>
      <c r="G550" s="298"/>
      <c r="H550" s="288"/>
    </row>
    <row r="551" spans="1:8" ht="18.75" customHeight="1">
      <c r="A551" s="286"/>
      <c r="B551" s="285"/>
      <c r="C551" s="285"/>
      <c r="D551" s="285"/>
      <c r="E551" s="285"/>
      <c r="F551" s="297"/>
      <c r="G551" s="298"/>
      <c r="H551" s="288"/>
    </row>
    <row r="552" spans="1:8" ht="18.75" customHeight="1">
      <c r="A552" s="286"/>
      <c r="B552" s="285"/>
      <c r="C552" s="285"/>
      <c r="D552" s="285"/>
      <c r="E552" s="285"/>
      <c r="F552" s="297"/>
      <c r="G552" s="298"/>
      <c r="H552" s="288"/>
    </row>
    <row r="553" spans="1:8" ht="18.75" customHeight="1">
      <c r="A553" s="286"/>
      <c r="B553" s="285"/>
      <c r="C553" s="285"/>
      <c r="D553" s="285"/>
      <c r="E553" s="285"/>
      <c r="F553" s="297"/>
      <c r="G553" s="298"/>
      <c r="H553" s="288"/>
    </row>
    <row r="554" spans="1:8" ht="18.75" customHeight="1">
      <c r="A554" s="286"/>
      <c r="B554" s="285"/>
      <c r="C554" s="285"/>
      <c r="D554" s="285"/>
      <c r="E554" s="285"/>
      <c r="F554" s="297"/>
      <c r="G554" s="298"/>
      <c r="H554" s="288"/>
    </row>
    <row r="555" spans="1:8" ht="18.75" customHeight="1">
      <c r="A555" s="286"/>
      <c r="B555" s="285"/>
      <c r="C555" s="285"/>
      <c r="D555" s="285"/>
      <c r="E555" s="285"/>
      <c r="F555" s="297"/>
      <c r="G555" s="298"/>
      <c r="H555" s="288"/>
    </row>
    <row r="556" spans="1:8" ht="18.75" customHeight="1">
      <c r="A556" s="286"/>
      <c r="B556" s="285"/>
      <c r="C556" s="285"/>
      <c r="D556" s="285"/>
      <c r="E556" s="285"/>
      <c r="F556" s="297"/>
      <c r="G556" s="298"/>
      <c r="H556" s="288"/>
    </row>
    <row r="557" spans="1:8" ht="18.75" customHeight="1">
      <c r="A557" s="286"/>
      <c r="B557" s="285"/>
      <c r="C557" s="285"/>
      <c r="D557" s="285"/>
      <c r="E557" s="285"/>
      <c r="F557" s="297"/>
      <c r="G557" s="298"/>
      <c r="H557" s="288"/>
    </row>
    <row r="558" spans="1:8" ht="18.75" customHeight="1">
      <c r="A558" s="286"/>
      <c r="B558" s="285"/>
      <c r="C558" s="285"/>
      <c r="D558" s="285"/>
      <c r="E558" s="285"/>
      <c r="F558" s="297"/>
      <c r="G558" s="298"/>
      <c r="H558" s="288"/>
    </row>
    <row r="559" spans="1:8" ht="12.75" customHeight="1">
      <c r="A559" s="286"/>
      <c r="B559" s="287"/>
      <c r="C559" s="288"/>
      <c r="D559" s="288"/>
      <c r="E559" s="288"/>
      <c r="F559" s="300"/>
      <c r="G559" s="298"/>
      <c r="H559" s="288"/>
    </row>
    <row r="560" spans="1:8" ht="12.75" customHeight="1">
      <c r="A560" s="286"/>
      <c r="B560" s="287"/>
      <c r="C560" s="288"/>
      <c r="D560" s="287"/>
      <c r="E560" s="288"/>
      <c r="F560" s="300"/>
      <c r="G560" s="298"/>
      <c r="H560" s="288"/>
    </row>
    <row r="561" spans="1:8" ht="12.75" customHeight="1">
      <c r="A561" s="286"/>
      <c r="B561" s="288"/>
      <c r="C561" s="287"/>
      <c r="D561" s="288"/>
      <c r="E561" s="288"/>
      <c r="F561" s="300"/>
      <c r="G561" s="298"/>
      <c r="H561" s="288"/>
    </row>
  </sheetData>
  <autoFilter ref="A5:S121"/>
  <mergeCells count="143">
    <mergeCell ref="A4:H4"/>
    <mergeCell ref="A16:H16"/>
    <mergeCell ref="A17:H17"/>
    <mergeCell ref="A18:H18"/>
    <mergeCell ref="A19:H19"/>
    <mergeCell ref="A25:H25"/>
    <mergeCell ref="A26:H26"/>
    <mergeCell ref="A27:H27"/>
    <mergeCell ref="A28:H28"/>
    <mergeCell ref="A33:H33"/>
    <mergeCell ref="A34:H34"/>
    <mergeCell ref="A35:H35"/>
    <mergeCell ref="A36:H36"/>
    <mergeCell ref="A55:H55"/>
    <mergeCell ref="A60:H60"/>
    <mergeCell ref="A61:H61"/>
    <mergeCell ref="A62:H62"/>
    <mergeCell ref="A63:H63"/>
    <mergeCell ref="A67:H67"/>
    <mergeCell ref="A68:H68"/>
    <mergeCell ref="A69:H69"/>
    <mergeCell ref="A70:H70"/>
    <mergeCell ref="A74:H74"/>
    <mergeCell ref="A75:H75"/>
    <mergeCell ref="A76:H76"/>
    <mergeCell ref="I76:S76"/>
    <mergeCell ref="A77:H77"/>
    <mergeCell ref="A82:H82"/>
    <mergeCell ref="A83:H83"/>
    <mergeCell ref="A84:H84"/>
    <mergeCell ref="A85:H85"/>
    <mergeCell ref="I86:S86"/>
    <mergeCell ref="A89:H89"/>
    <mergeCell ref="A90:H90"/>
    <mergeCell ref="A91:H91"/>
    <mergeCell ref="A92:H92"/>
    <mergeCell ref="A96:H96"/>
    <mergeCell ref="A97:H97"/>
    <mergeCell ref="A98:H98"/>
    <mergeCell ref="A99:H99"/>
    <mergeCell ref="A109:H109"/>
    <mergeCell ref="A110:H110"/>
    <mergeCell ref="A111:H111"/>
    <mergeCell ref="A112:H112"/>
    <mergeCell ref="A117:H117"/>
    <mergeCell ref="A118:H118"/>
    <mergeCell ref="A119:H119"/>
    <mergeCell ref="A120:H120"/>
    <mergeCell ref="A129:H129"/>
    <mergeCell ref="A130:H130"/>
    <mergeCell ref="A131:H131"/>
    <mergeCell ref="A132:H132"/>
    <mergeCell ref="A141:H141"/>
    <mergeCell ref="A142:H142"/>
    <mergeCell ref="A143:H143"/>
    <mergeCell ref="A144:H144"/>
    <mergeCell ref="A154:H154"/>
    <mergeCell ref="A155:H155"/>
    <mergeCell ref="A156:H156"/>
    <mergeCell ref="A157:H157"/>
    <mergeCell ref="A162:H162"/>
    <mergeCell ref="A163:H163"/>
    <mergeCell ref="A164:H164"/>
    <mergeCell ref="A165:H165"/>
    <mergeCell ref="A170:H170"/>
    <mergeCell ref="A171:H171"/>
    <mergeCell ref="A172:H172"/>
    <mergeCell ref="A173:H173"/>
    <mergeCell ref="A177:H177"/>
    <mergeCell ref="A178:H178"/>
    <mergeCell ref="A179:H179"/>
    <mergeCell ref="A180:H180"/>
    <mergeCell ref="A184:H184"/>
    <mergeCell ref="A185:H185"/>
    <mergeCell ref="A186:H186"/>
    <mergeCell ref="A187:H187"/>
    <mergeCell ref="A209:H209"/>
    <mergeCell ref="A210:H210"/>
    <mergeCell ref="A211:H211"/>
    <mergeCell ref="A212:H212"/>
    <mergeCell ref="A240:H240"/>
    <mergeCell ref="A241:H241"/>
    <mergeCell ref="A242:H242"/>
    <mergeCell ref="A243:H243"/>
    <mergeCell ref="A250:H250"/>
    <mergeCell ref="A251:H251"/>
    <mergeCell ref="A252:H252"/>
    <mergeCell ref="A253:H253"/>
    <mergeCell ref="A259:H259"/>
    <mergeCell ref="A260:H260"/>
    <mergeCell ref="A261:H261"/>
    <mergeCell ref="A262:H262"/>
    <mergeCell ref="A267:H267"/>
    <mergeCell ref="A273:H273"/>
    <mergeCell ref="A283:H283"/>
    <mergeCell ref="A299:H299"/>
    <mergeCell ref="A300:H300"/>
    <mergeCell ref="A301:H301"/>
    <mergeCell ref="A302:H302"/>
    <mergeCell ref="A308:H308"/>
    <mergeCell ref="A309:H309"/>
    <mergeCell ref="A310:H310"/>
    <mergeCell ref="A311:H311"/>
    <mergeCell ref="A315:H315"/>
    <mergeCell ref="A316:H316"/>
    <mergeCell ref="A317:H317"/>
    <mergeCell ref="A318:H318"/>
    <mergeCell ref="A337:H337"/>
    <mergeCell ref="A342:H342"/>
    <mergeCell ref="A355:H355"/>
    <mergeCell ref="A361:H361"/>
    <mergeCell ref="A381:H381"/>
    <mergeCell ref="A392:H392"/>
    <mergeCell ref="A397:H397"/>
    <mergeCell ref="A398:H398"/>
    <mergeCell ref="A412:H412"/>
    <mergeCell ref="A413:H413"/>
    <mergeCell ref="A414:H414"/>
    <mergeCell ref="A415:H415"/>
    <mergeCell ref="A421:H421"/>
    <mergeCell ref="A422:H422"/>
    <mergeCell ref="A423:H423"/>
    <mergeCell ref="A424:H424"/>
    <mergeCell ref="A436:H436"/>
    <mergeCell ref="A437:H437"/>
    <mergeCell ref="A438:H438"/>
    <mergeCell ref="A439:H439"/>
    <mergeCell ref="A452:H452"/>
    <mergeCell ref="A458:H458"/>
    <mergeCell ref="A459:H459"/>
    <mergeCell ref="A460:H460"/>
    <mergeCell ref="A461:H461"/>
    <mergeCell ref="A524:H524"/>
    <mergeCell ref="E527:G527"/>
    <mergeCell ref="A503:H503"/>
    <mergeCell ref="A513:H513"/>
    <mergeCell ref="A514:H514"/>
    <mergeCell ref="A515:H515"/>
    <mergeCell ref="A516:H516"/>
    <mergeCell ref="A520:H520"/>
    <mergeCell ref="A521:H521"/>
    <mergeCell ref="A522:H522"/>
    <mergeCell ref="A523:H523"/>
  </mergeCells>
  <conditionalFormatting sqref="B526:B53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2DA QUINCENA DE MAYO 2023</oddFooter>
  </headerFooter>
  <rowBreaks count="60" manualBreakCount="60">
    <brk id="15" max="16383" man="1"/>
    <brk id="24" max="16383" man="1"/>
    <brk id="32" max="16383" man="1"/>
    <brk id="41" max="16383" man="1"/>
    <brk id="41" max="16383" man="1"/>
    <brk id="59" max="16383" man="1"/>
    <brk id="59" max="16383" man="1"/>
    <brk id="73" max="16383" man="1"/>
    <brk id="88" max="16383" man="1"/>
    <brk id="95" max="16383" man="1"/>
    <brk id="108" max="16383" man="1"/>
    <brk id="116" max="16383" man="1"/>
    <brk id="128" max="16383" man="1"/>
    <brk id="140" max="16383" man="1"/>
    <brk id="153" max="16383" man="1"/>
    <brk id="161" max="16383" man="1"/>
    <brk id="169" max="16383" man="1"/>
    <brk id="169" max="16383" man="1"/>
    <brk id="176" max="16383" man="1"/>
    <brk id="183" max="16383" man="1"/>
    <brk id="183" max="16383" man="1"/>
    <brk id="208" max="16383" man="1"/>
    <brk id="208" max="16383" man="1"/>
    <brk id="217" max="16383" man="1"/>
    <brk id="217" max="16383" man="1"/>
    <brk id="239" max="16383" man="1"/>
    <brk id="239" max="16383" man="1"/>
    <brk id="249" max="16383" man="1"/>
    <brk id="249" max="16383" man="1"/>
    <brk id="258" max="16383" man="1"/>
    <brk id="258" max="16383" man="1"/>
    <brk id="266" max="16383" man="1"/>
    <brk id="266" max="16383" man="1"/>
    <brk id="272" max="16383" man="1"/>
    <brk id="272" max="16383" man="1"/>
    <brk id="282" max="16383" man="1"/>
    <brk id="282" max="16383" man="1"/>
    <brk id="298" max="16383" man="1"/>
    <brk id="307" max="16383" man="1"/>
    <brk id="314" max="16383" man="1"/>
    <brk id="336" max="16383" man="1"/>
    <brk id="341" max="16383" man="1"/>
    <brk id="354" max="16383" man="1"/>
    <brk id="360" max="16383" man="1"/>
    <brk id="372" max="16383" man="1"/>
    <brk id="380" max="16383" man="1"/>
    <brk id="391" max="16383" man="1"/>
    <brk id="396" max="16383" man="1"/>
    <brk id="411" max="16383" man="1"/>
    <brk id="420" max="16383" man="1"/>
    <brk id="435" max="16383" man="1"/>
    <brk id="451" max="16383" man="1"/>
    <brk id="457" max="16383" man="1"/>
    <brk id="470" max="16383" man="1"/>
    <brk id="476" max="16383" man="1"/>
    <brk id="502" max="16383" man="1"/>
    <brk id="512" max="16383" man="1"/>
    <brk id="519" max="16383" man="1"/>
    <brk id="531" max="16383" man="1"/>
    <brk id="5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FBBE8A4F38A649A6869D7AF1B5B50E56</vt:lpwstr>
  </property>
  <property fmtid="{D5CDD505-2E9C-101B-9397-08002B2CF9AE}" pid="3" name="KSOProductBuildVer">
    <vt:lpwstr>2058-11.2.0.11537</vt:lpwstr>
  </property>
</Properties>
</file>