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\Nueva carpeta\"/>
    </mc:Choice>
  </mc:AlternateContent>
  <bookViews>
    <workbookView xWindow="0" yWindow="0" windowWidth="27945" windowHeight="12330"/>
  </bookViews>
  <sheets>
    <sheet name="MADRE" sheetId="6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MADRE!$A$5:$S$111</definedName>
    <definedName name="_xlnm.Print_Area" localSheetId="0">MADRE!$A$1:$H$518</definedName>
  </definedNames>
  <calcPr calcId="162913"/>
</workbook>
</file>

<file path=xl/calcChain.xml><?xml version="1.0" encoding="utf-8"?>
<calcChain xmlns="http://schemas.openxmlformats.org/spreadsheetml/2006/main">
  <c r="B518" i="6" l="1"/>
  <c r="B517" i="6"/>
  <c r="B516" i="6"/>
  <c r="B515" i="6"/>
  <c r="B514" i="6"/>
  <c r="B513" i="6"/>
  <c r="G506" i="6"/>
  <c r="F506" i="6"/>
  <c r="E506" i="6"/>
  <c r="D506" i="6"/>
  <c r="N505" i="6"/>
  <c r="C505" i="6"/>
  <c r="G498" i="6"/>
  <c r="F498" i="6"/>
  <c r="E498" i="6"/>
  <c r="D498" i="6"/>
  <c r="C497" i="6"/>
  <c r="H497" i="6" s="1"/>
  <c r="C496" i="6"/>
  <c r="H496" i="6" s="1"/>
  <c r="C495" i="6"/>
  <c r="H495" i="6" s="1"/>
  <c r="C494" i="6"/>
  <c r="H494" i="6" s="1"/>
  <c r="C493" i="6"/>
  <c r="H493" i="6" s="1"/>
  <c r="C492" i="6"/>
  <c r="H492" i="6" s="1"/>
  <c r="C491" i="6"/>
  <c r="H491" i="6" s="1"/>
  <c r="G489" i="6"/>
  <c r="F489" i="6"/>
  <c r="E489" i="6"/>
  <c r="D489" i="6"/>
  <c r="C488" i="6"/>
  <c r="H488" i="6" s="1"/>
  <c r="C487" i="6"/>
  <c r="H487" i="6" s="1"/>
  <c r="C486" i="6"/>
  <c r="H486" i="6" s="1"/>
  <c r="C485" i="6"/>
  <c r="H485" i="6" s="1"/>
  <c r="C484" i="6"/>
  <c r="H484" i="6" s="1"/>
  <c r="C483" i="6"/>
  <c r="H483" i="6" s="1"/>
  <c r="C482" i="6"/>
  <c r="H482" i="6" s="1"/>
  <c r="C481" i="6"/>
  <c r="H481" i="6" s="1"/>
  <c r="C480" i="6"/>
  <c r="H480" i="6" s="1"/>
  <c r="C479" i="6"/>
  <c r="H479" i="6" s="1"/>
  <c r="C478" i="6"/>
  <c r="H478" i="6" s="1"/>
  <c r="C477" i="6"/>
  <c r="H477" i="6" s="1"/>
  <c r="C476" i="6"/>
  <c r="H476" i="6" s="1"/>
  <c r="C475" i="6"/>
  <c r="H475" i="6" s="1"/>
  <c r="C474" i="6"/>
  <c r="H474" i="6" s="1"/>
  <c r="C473" i="6"/>
  <c r="H473" i="6" s="1"/>
  <c r="C472" i="6"/>
  <c r="H472" i="6" s="1"/>
  <c r="C471" i="6"/>
  <c r="H471" i="6" s="1"/>
  <c r="C470" i="6"/>
  <c r="H470" i="6" s="1"/>
  <c r="C469" i="6"/>
  <c r="H469" i="6" s="1"/>
  <c r="C468" i="6"/>
  <c r="H468" i="6" s="1"/>
  <c r="C467" i="6"/>
  <c r="H467" i="6" s="1"/>
  <c r="C466" i="6"/>
  <c r="H466" i="6" s="1"/>
  <c r="C465" i="6"/>
  <c r="H465" i="6" s="1"/>
  <c r="C464" i="6"/>
  <c r="H464" i="6" s="1"/>
  <c r="C463" i="6"/>
  <c r="H463" i="6" s="1"/>
  <c r="C462" i="6"/>
  <c r="H462" i="6" s="1"/>
  <c r="C461" i="6"/>
  <c r="H461" i="6" s="1"/>
  <c r="C460" i="6"/>
  <c r="H460" i="6" s="1"/>
  <c r="C459" i="6"/>
  <c r="H459" i="6" s="1"/>
  <c r="C458" i="6"/>
  <c r="H458" i="6" s="1"/>
  <c r="C457" i="6"/>
  <c r="H457" i="6" s="1"/>
  <c r="C456" i="6"/>
  <c r="H456" i="6" s="1"/>
  <c r="C455" i="6"/>
  <c r="H455" i="6" s="1"/>
  <c r="C454" i="6"/>
  <c r="H454" i="6" s="1"/>
  <c r="C453" i="6"/>
  <c r="H453" i="6" s="1"/>
  <c r="C452" i="6"/>
  <c r="H452" i="6" s="1"/>
  <c r="C451" i="6"/>
  <c r="H451" i="6" s="1"/>
  <c r="C450" i="6"/>
  <c r="H450" i="6" s="1"/>
  <c r="G443" i="6"/>
  <c r="F443" i="6"/>
  <c r="E443" i="6"/>
  <c r="D443" i="6"/>
  <c r="C442" i="6"/>
  <c r="H442" i="6" s="1"/>
  <c r="C441" i="6"/>
  <c r="H441" i="6" s="1"/>
  <c r="G438" i="6"/>
  <c r="G444" i="6" s="1"/>
  <c r="F438" i="6"/>
  <c r="F444" i="6" s="1"/>
  <c r="E438" i="6"/>
  <c r="E444" i="6" s="1"/>
  <c r="C437" i="6"/>
  <c r="H437" i="6" s="1"/>
  <c r="C436" i="6"/>
  <c r="H436" i="6" s="1"/>
  <c r="C435" i="6"/>
  <c r="H435" i="6" s="1"/>
  <c r="N434" i="6"/>
  <c r="C434" i="6"/>
  <c r="H434" i="6" s="1"/>
  <c r="C433" i="6"/>
  <c r="H433" i="6" s="1"/>
  <c r="C432" i="6"/>
  <c r="H432" i="6" s="1"/>
  <c r="C431" i="6"/>
  <c r="H431" i="6" s="1"/>
  <c r="D430" i="6"/>
  <c r="C430" i="6"/>
  <c r="D429" i="6"/>
  <c r="C429" i="6"/>
  <c r="G423" i="6"/>
  <c r="F423" i="6"/>
  <c r="E423" i="6"/>
  <c r="C422" i="6"/>
  <c r="H422" i="6" s="1"/>
  <c r="C421" i="6"/>
  <c r="H421" i="6" s="1"/>
  <c r="C420" i="6"/>
  <c r="H420" i="6" s="1"/>
  <c r="C419" i="6"/>
  <c r="H419" i="6" s="1"/>
  <c r="C418" i="6"/>
  <c r="H418" i="6" s="1"/>
  <c r="C417" i="6"/>
  <c r="H417" i="6" s="1"/>
  <c r="D416" i="6"/>
  <c r="C416" i="6"/>
  <c r="C415" i="6"/>
  <c r="H415" i="6" s="1"/>
  <c r="D414" i="6"/>
  <c r="C414" i="6"/>
  <c r="G408" i="6"/>
  <c r="F408" i="6"/>
  <c r="E408" i="6"/>
  <c r="C407" i="6"/>
  <c r="H407" i="6" s="1"/>
  <c r="C406" i="6"/>
  <c r="H406" i="6" s="1"/>
  <c r="D405" i="6"/>
  <c r="D408" i="6" s="1"/>
  <c r="C405" i="6"/>
  <c r="G399" i="6"/>
  <c r="F399" i="6"/>
  <c r="E399" i="6"/>
  <c r="C398" i="6"/>
  <c r="H398" i="6" s="1"/>
  <c r="D397" i="6"/>
  <c r="C397" i="6"/>
  <c r="D396" i="6"/>
  <c r="C396" i="6"/>
  <c r="C395" i="6"/>
  <c r="H395" i="6" s="1"/>
  <c r="C394" i="6"/>
  <c r="H394" i="6" s="1"/>
  <c r="D393" i="6"/>
  <c r="C393" i="6"/>
  <c r="C392" i="6"/>
  <c r="H392" i="6" s="1"/>
  <c r="D391" i="6"/>
  <c r="C391" i="6"/>
  <c r="B388" i="6"/>
  <c r="G384" i="6"/>
  <c r="F384" i="6"/>
  <c r="E384" i="6"/>
  <c r="D384" i="6"/>
  <c r="C383" i="6"/>
  <c r="C384" i="6" s="1"/>
  <c r="G380" i="6"/>
  <c r="F380" i="6"/>
  <c r="E380" i="6"/>
  <c r="D379" i="6"/>
  <c r="C379" i="6"/>
  <c r="C378" i="6"/>
  <c r="H378" i="6" s="1"/>
  <c r="D377" i="6"/>
  <c r="C377" i="6"/>
  <c r="C376" i="6"/>
  <c r="H376" i="6" s="1"/>
  <c r="C375" i="6"/>
  <c r="H375" i="6" s="1"/>
  <c r="C374" i="6"/>
  <c r="H374" i="6" s="1"/>
  <c r="C373" i="6"/>
  <c r="H373" i="6" s="1"/>
  <c r="D372" i="6"/>
  <c r="C372" i="6"/>
  <c r="G369" i="6"/>
  <c r="F369" i="6"/>
  <c r="C368" i="6"/>
  <c r="H368" i="6" s="1"/>
  <c r="C367" i="6"/>
  <c r="H367" i="6" s="1"/>
  <c r="C366" i="6"/>
  <c r="H366" i="6" s="1"/>
  <c r="C365" i="6"/>
  <c r="H365" i="6" s="1"/>
  <c r="C364" i="6"/>
  <c r="H364" i="6" s="1"/>
  <c r="D363" i="6"/>
  <c r="D369" i="6" s="1"/>
  <c r="C363" i="6"/>
  <c r="E362" i="6"/>
  <c r="E369" i="6" s="1"/>
  <c r="C362" i="6"/>
  <c r="C361" i="6"/>
  <c r="H361" i="6" s="1"/>
  <c r="C360" i="6"/>
  <c r="H360" i="6" s="1"/>
  <c r="C359" i="6"/>
  <c r="H359" i="6" s="1"/>
  <c r="C358" i="6"/>
  <c r="H358" i="6" s="1"/>
  <c r="C357" i="6"/>
  <c r="H357" i="6" s="1"/>
  <c r="C356" i="6"/>
  <c r="H356" i="6" s="1"/>
  <c r="C355" i="6"/>
  <c r="H355" i="6" s="1"/>
  <c r="C354" i="6"/>
  <c r="H354" i="6" s="1"/>
  <c r="C353" i="6"/>
  <c r="H353" i="6" s="1"/>
  <c r="C352" i="6"/>
  <c r="H352" i="6" s="1"/>
  <c r="G349" i="6"/>
  <c r="F349" i="6"/>
  <c r="E349" i="6"/>
  <c r="C348" i="6"/>
  <c r="H348" i="6" s="1"/>
  <c r="D347" i="6"/>
  <c r="C347" i="6"/>
  <c r="D346" i="6"/>
  <c r="D349" i="6" s="1"/>
  <c r="C346" i="6"/>
  <c r="C349" i="6" s="1"/>
  <c r="G343" i="6"/>
  <c r="F343" i="6"/>
  <c r="E343" i="6"/>
  <c r="C342" i="6"/>
  <c r="H342" i="6" s="1"/>
  <c r="C341" i="6"/>
  <c r="H341" i="6" s="1"/>
  <c r="C340" i="6"/>
  <c r="H340" i="6" s="1"/>
  <c r="C339" i="6"/>
  <c r="H339" i="6" s="1"/>
  <c r="D338" i="6"/>
  <c r="C338" i="6"/>
  <c r="D337" i="6"/>
  <c r="C337" i="6"/>
  <c r="D336" i="6"/>
  <c r="D343" i="6" s="1"/>
  <c r="C336" i="6"/>
  <c r="G333" i="6"/>
  <c r="F333" i="6"/>
  <c r="E333" i="6"/>
  <c r="D332" i="6"/>
  <c r="D333" i="6" s="1"/>
  <c r="C332" i="6"/>
  <c r="G328" i="6"/>
  <c r="F328" i="6"/>
  <c r="E328" i="6"/>
  <c r="C327" i="6"/>
  <c r="H327" i="6" s="1"/>
  <c r="C326" i="6"/>
  <c r="H326" i="6" s="1"/>
  <c r="C325" i="6"/>
  <c r="H325" i="6" s="1"/>
  <c r="C324" i="6"/>
  <c r="H324" i="6" s="1"/>
  <c r="C323" i="6"/>
  <c r="H323" i="6" s="1"/>
  <c r="D322" i="6"/>
  <c r="C322" i="6"/>
  <c r="D321" i="6"/>
  <c r="C321" i="6"/>
  <c r="C320" i="6"/>
  <c r="H320" i="6" s="1"/>
  <c r="C319" i="6"/>
  <c r="H319" i="6" s="1"/>
  <c r="D318" i="6"/>
  <c r="C318" i="6"/>
  <c r="D317" i="6"/>
  <c r="C317" i="6"/>
  <c r="D316" i="6"/>
  <c r="C316" i="6"/>
  <c r="D315" i="6"/>
  <c r="C315" i="6"/>
  <c r="G309" i="6"/>
  <c r="F309" i="6"/>
  <c r="E309" i="6"/>
  <c r="D309" i="6"/>
  <c r="C309" i="6"/>
  <c r="H308" i="6"/>
  <c r="H309" i="6" s="1"/>
  <c r="G302" i="6"/>
  <c r="F302" i="6"/>
  <c r="E302" i="6"/>
  <c r="D301" i="6"/>
  <c r="C301" i="6"/>
  <c r="D300" i="6"/>
  <c r="C300" i="6"/>
  <c r="D299" i="6"/>
  <c r="D302" i="6" s="1"/>
  <c r="C299" i="6"/>
  <c r="G292" i="6"/>
  <c r="F292" i="6"/>
  <c r="E292" i="6"/>
  <c r="D290" i="6"/>
  <c r="C290" i="6"/>
  <c r="D289" i="6"/>
  <c r="C289" i="6"/>
  <c r="H289" i="6" s="1"/>
  <c r="D288" i="6"/>
  <c r="C288" i="6"/>
  <c r="H288" i="6" s="1"/>
  <c r="D287" i="6"/>
  <c r="C287" i="6"/>
  <c r="H287" i="6" s="1"/>
  <c r="D286" i="6"/>
  <c r="C286" i="6"/>
  <c r="D285" i="6"/>
  <c r="C285" i="6"/>
  <c r="H285" i="6" s="1"/>
  <c r="D284" i="6"/>
  <c r="C284" i="6"/>
  <c r="H284" i="6" s="1"/>
  <c r="D283" i="6"/>
  <c r="C283" i="6"/>
  <c r="H283" i="6" s="1"/>
  <c r="D282" i="6"/>
  <c r="C282" i="6"/>
  <c r="D281" i="6"/>
  <c r="C281" i="6"/>
  <c r="D280" i="6"/>
  <c r="C280" i="6"/>
  <c r="H280" i="6" s="1"/>
  <c r="K279" i="6"/>
  <c r="D279" i="6"/>
  <c r="D292" i="6" s="1"/>
  <c r="C279" i="6"/>
  <c r="G276" i="6"/>
  <c r="F276" i="6"/>
  <c r="E276" i="6"/>
  <c r="D275" i="6"/>
  <c r="C275" i="6"/>
  <c r="H275" i="6" s="1"/>
  <c r="D274" i="6"/>
  <c r="C274" i="6"/>
  <c r="H274" i="6" s="1"/>
  <c r="D273" i="6"/>
  <c r="C273" i="6"/>
  <c r="D272" i="6"/>
  <c r="C272" i="6"/>
  <c r="H272" i="6" s="1"/>
  <c r="D271" i="6"/>
  <c r="C271" i="6"/>
  <c r="H271" i="6" s="1"/>
  <c r="D270" i="6"/>
  <c r="C270" i="6"/>
  <c r="H270" i="6" s="1"/>
  <c r="D269" i="6"/>
  <c r="C269" i="6"/>
  <c r="D268" i="6"/>
  <c r="C268" i="6"/>
  <c r="D267" i="6"/>
  <c r="C267" i="6"/>
  <c r="H267" i="6" s="1"/>
  <c r="G264" i="6"/>
  <c r="F264" i="6"/>
  <c r="E264" i="6"/>
  <c r="D263" i="6"/>
  <c r="C263" i="6"/>
  <c r="D262" i="6"/>
  <c r="C262" i="6"/>
  <c r="D261" i="6"/>
  <c r="C261" i="6"/>
  <c r="D260" i="6"/>
  <c r="C260" i="6"/>
  <c r="C264" i="6" s="1"/>
  <c r="G257" i="6"/>
  <c r="F257" i="6"/>
  <c r="E257" i="6"/>
  <c r="D255" i="6"/>
  <c r="C255" i="6"/>
  <c r="H255" i="6" s="1"/>
  <c r="D254" i="6"/>
  <c r="C254" i="6"/>
  <c r="D253" i="6"/>
  <c r="C253" i="6"/>
  <c r="C257" i="6" s="1"/>
  <c r="G247" i="6"/>
  <c r="F247" i="6"/>
  <c r="E247" i="6"/>
  <c r="C246" i="6"/>
  <c r="H246" i="6" s="1"/>
  <c r="C245" i="6"/>
  <c r="H245" i="6" s="1"/>
  <c r="D244" i="6"/>
  <c r="D247" i="6" s="1"/>
  <c r="C244" i="6"/>
  <c r="G238" i="6"/>
  <c r="F238" i="6"/>
  <c r="E238" i="6"/>
  <c r="C237" i="6"/>
  <c r="H237" i="6" s="1"/>
  <c r="D236" i="6"/>
  <c r="C236" i="6"/>
  <c r="C235" i="6"/>
  <c r="D234" i="6"/>
  <c r="C234" i="6"/>
  <c r="G228" i="6"/>
  <c r="F228" i="6"/>
  <c r="E228" i="6"/>
  <c r="C227" i="6"/>
  <c r="H227" i="6" s="1"/>
  <c r="D226" i="6"/>
  <c r="C226" i="6"/>
  <c r="C225" i="6"/>
  <c r="H225" i="6" s="1"/>
  <c r="C224" i="6"/>
  <c r="H224" i="6" s="1"/>
  <c r="C223" i="6"/>
  <c r="H223" i="6" s="1"/>
  <c r="C222" i="6"/>
  <c r="H222" i="6" s="1"/>
  <c r="C221" i="6"/>
  <c r="H221" i="6" s="1"/>
  <c r="C220" i="6"/>
  <c r="H220" i="6" s="1"/>
  <c r="C219" i="6"/>
  <c r="H219" i="6" s="1"/>
  <c r="H218" i="6"/>
  <c r="C217" i="6"/>
  <c r="H217" i="6" s="1"/>
  <c r="C216" i="6"/>
  <c r="H216" i="6" s="1"/>
  <c r="C215" i="6"/>
  <c r="H215" i="6" s="1"/>
  <c r="C214" i="6"/>
  <c r="H214" i="6" s="1"/>
  <c r="D213" i="6"/>
  <c r="D228" i="6" s="1"/>
  <c r="C213" i="6"/>
  <c r="B210" i="6"/>
  <c r="B209" i="6"/>
  <c r="G207" i="6"/>
  <c r="F207" i="6"/>
  <c r="E207" i="6"/>
  <c r="C206" i="6"/>
  <c r="H206" i="6" s="1"/>
  <c r="D205" i="6"/>
  <c r="D207" i="6" s="1"/>
  <c r="C205" i="6"/>
  <c r="C207" i="6" s="1"/>
  <c r="G198" i="6"/>
  <c r="F198" i="6"/>
  <c r="E198" i="6"/>
  <c r="D197" i="6"/>
  <c r="C197" i="6"/>
  <c r="D196" i="6"/>
  <c r="C196" i="6"/>
  <c r="D195" i="6"/>
  <c r="C195" i="6"/>
  <c r="D194" i="6"/>
  <c r="C194" i="6"/>
  <c r="D193" i="6"/>
  <c r="C193" i="6"/>
  <c r="D192" i="6"/>
  <c r="C192" i="6"/>
  <c r="D191" i="6"/>
  <c r="C191" i="6"/>
  <c r="D190" i="6"/>
  <c r="C190" i="6"/>
  <c r="D189" i="6"/>
  <c r="C189" i="6"/>
  <c r="D188" i="6"/>
  <c r="D198" i="6" s="1"/>
  <c r="C188" i="6"/>
  <c r="G185" i="6"/>
  <c r="F185" i="6"/>
  <c r="E185" i="6"/>
  <c r="D184" i="6"/>
  <c r="C184" i="6"/>
  <c r="C183" i="6"/>
  <c r="H183" i="6" s="1"/>
  <c r="D182" i="6"/>
  <c r="C182" i="6"/>
  <c r="C181" i="6"/>
  <c r="H181" i="6" s="1"/>
  <c r="D180" i="6"/>
  <c r="C180" i="6"/>
  <c r="D179" i="6"/>
  <c r="C179" i="6"/>
  <c r="G173" i="6"/>
  <c r="F173" i="6"/>
  <c r="E173" i="6"/>
  <c r="D173" i="6"/>
  <c r="C173" i="6"/>
  <c r="H172" i="6"/>
  <c r="H173" i="6" s="1"/>
  <c r="G166" i="6"/>
  <c r="F166" i="6"/>
  <c r="E166" i="6"/>
  <c r="D165" i="6"/>
  <c r="D166" i="6" s="1"/>
  <c r="C165" i="6"/>
  <c r="C166" i="6" s="1"/>
  <c r="G159" i="6"/>
  <c r="F159" i="6"/>
  <c r="E159" i="6"/>
  <c r="C158" i="6"/>
  <c r="H158" i="6" s="1"/>
  <c r="D157" i="6"/>
  <c r="D159" i="6" s="1"/>
  <c r="C157" i="6"/>
  <c r="C159" i="6" s="1"/>
  <c r="G151" i="6"/>
  <c r="F151" i="6"/>
  <c r="E151" i="6"/>
  <c r="C150" i="6"/>
  <c r="H150" i="6" s="1"/>
  <c r="D149" i="6"/>
  <c r="D151" i="6" s="1"/>
  <c r="C149" i="6"/>
  <c r="C151" i="6" s="1"/>
  <c r="G143" i="6"/>
  <c r="F143" i="6"/>
  <c r="E143" i="6"/>
  <c r="D142" i="6"/>
  <c r="C142" i="6"/>
  <c r="C141" i="6"/>
  <c r="H141" i="6" s="1"/>
  <c r="D140" i="6"/>
  <c r="C140" i="6"/>
  <c r="D139" i="6"/>
  <c r="C139" i="6"/>
  <c r="D138" i="6"/>
  <c r="C138" i="6"/>
  <c r="C137" i="6"/>
  <c r="H137" i="6" s="1"/>
  <c r="D136" i="6"/>
  <c r="C136" i="6"/>
  <c r="C143" i="6" s="1"/>
  <c r="G130" i="6"/>
  <c r="F130" i="6"/>
  <c r="E130" i="6"/>
  <c r="C129" i="6"/>
  <c r="H129" i="6" s="1"/>
  <c r="C128" i="6"/>
  <c r="H128" i="6" s="1"/>
  <c r="C127" i="6"/>
  <c r="H127" i="6" s="1"/>
  <c r="C126" i="6"/>
  <c r="H126" i="6" s="1"/>
  <c r="D125" i="6"/>
  <c r="D130" i="6" s="1"/>
  <c r="C125" i="6"/>
  <c r="C124" i="6"/>
  <c r="G118" i="6"/>
  <c r="F118" i="6"/>
  <c r="E118" i="6"/>
  <c r="C117" i="6"/>
  <c r="H117" i="6" s="1"/>
  <c r="C116" i="6"/>
  <c r="H116" i="6" s="1"/>
  <c r="C115" i="6"/>
  <c r="H115" i="6" s="1"/>
  <c r="C114" i="6"/>
  <c r="H114" i="6" s="1"/>
  <c r="D113" i="6"/>
  <c r="D118" i="6" s="1"/>
  <c r="C113" i="6"/>
  <c r="G106" i="6"/>
  <c r="F106" i="6"/>
  <c r="E106" i="6"/>
  <c r="D106" i="6"/>
  <c r="C105" i="6"/>
  <c r="C106" i="6" s="1"/>
  <c r="G99" i="6"/>
  <c r="F99" i="6"/>
  <c r="E99" i="6"/>
  <c r="D98" i="6"/>
  <c r="C98" i="6"/>
  <c r="C97" i="6"/>
  <c r="H97" i="6" s="1"/>
  <c r="C96" i="6"/>
  <c r="H96" i="6" s="1"/>
  <c r="C95" i="6"/>
  <c r="H95" i="6" s="1"/>
  <c r="C94" i="6"/>
  <c r="H94" i="6" s="1"/>
  <c r="D93" i="6"/>
  <c r="C93" i="6"/>
  <c r="D92" i="6"/>
  <c r="D99" i="6" s="1"/>
  <c r="C92" i="6"/>
  <c r="G86" i="6"/>
  <c r="F86" i="6"/>
  <c r="E86" i="6"/>
  <c r="D85" i="6"/>
  <c r="D86" i="6" s="1"/>
  <c r="C85" i="6"/>
  <c r="C86" i="6" s="1"/>
  <c r="G79" i="6"/>
  <c r="F79" i="6"/>
  <c r="E79" i="6"/>
  <c r="C78" i="6"/>
  <c r="H78" i="6" s="1"/>
  <c r="D77" i="6"/>
  <c r="D79" i="6" s="1"/>
  <c r="C77" i="6"/>
  <c r="C79" i="6" s="1"/>
  <c r="H76" i="6"/>
  <c r="E76" i="6"/>
  <c r="D76" i="6"/>
  <c r="C76" i="6"/>
  <c r="B76" i="6"/>
  <c r="A76" i="6"/>
  <c r="H71" i="6"/>
  <c r="G71" i="6"/>
  <c r="F71" i="6"/>
  <c r="E71" i="6"/>
  <c r="D71" i="6"/>
  <c r="C71" i="6"/>
  <c r="G64" i="6"/>
  <c r="F64" i="6"/>
  <c r="E64" i="6"/>
  <c r="D63" i="6"/>
  <c r="D64" i="6" s="1"/>
  <c r="C63" i="6"/>
  <c r="C64" i="6" s="1"/>
  <c r="G56" i="6"/>
  <c r="F56" i="6"/>
  <c r="E56" i="6"/>
  <c r="D56" i="6"/>
  <c r="C55" i="6"/>
  <c r="C56" i="6" s="1"/>
  <c r="G52" i="6"/>
  <c r="F52" i="6"/>
  <c r="F57" i="6" s="1"/>
  <c r="E52" i="6"/>
  <c r="D51" i="6"/>
  <c r="C51" i="6"/>
  <c r="D50" i="6"/>
  <c r="C50" i="6"/>
  <c r="C49" i="6"/>
  <c r="D48" i="6"/>
  <c r="C48" i="6"/>
  <c r="D45" i="6"/>
  <c r="C45" i="6"/>
  <c r="G39" i="6"/>
  <c r="F39" i="6"/>
  <c r="E39" i="6"/>
  <c r="D38" i="6"/>
  <c r="C38" i="6"/>
  <c r="D37" i="6"/>
  <c r="C37" i="6"/>
  <c r="D36" i="6"/>
  <c r="D39" i="6" s="1"/>
  <c r="C36" i="6"/>
  <c r="C39" i="6" s="1"/>
  <c r="G30" i="6"/>
  <c r="F30" i="6"/>
  <c r="E30" i="6"/>
  <c r="D29" i="6"/>
  <c r="C29" i="6"/>
  <c r="D28" i="6"/>
  <c r="D30" i="6" s="1"/>
  <c r="C28" i="6"/>
  <c r="G22" i="6"/>
  <c r="F22" i="6"/>
  <c r="E22" i="6"/>
  <c r="D21" i="6"/>
  <c r="D22" i="6" s="1"/>
  <c r="C21" i="6"/>
  <c r="C22" i="6" s="1"/>
  <c r="H20" i="6"/>
  <c r="G20" i="6"/>
  <c r="G27" i="6" s="1"/>
  <c r="G35" i="6" s="1"/>
  <c r="G44" i="6" s="1"/>
  <c r="G54" i="6" s="1"/>
  <c r="G62" i="6" s="1"/>
  <c r="G76" i="6" s="1"/>
  <c r="G84" i="6" s="1"/>
  <c r="G91" i="6" s="1"/>
  <c r="G104" i="6" s="1"/>
  <c r="G111" i="6" s="1"/>
  <c r="G123" i="6" s="1"/>
  <c r="G135" i="6" s="1"/>
  <c r="G148" i="6" s="1"/>
  <c r="G156" i="6" s="1"/>
  <c r="G164" i="6" s="1"/>
  <c r="E20" i="6"/>
  <c r="D20" i="6"/>
  <c r="C20" i="6"/>
  <c r="B20" i="6"/>
  <c r="A20" i="6"/>
  <c r="G15" i="6"/>
  <c r="F15" i="6"/>
  <c r="E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D15" i="6" s="1"/>
  <c r="C6" i="6"/>
  <c r="C15" i="6" s="1"/>
  <c r="E57" i="6" l="1"/>
  <c r="G57" i="6"/>
  <c r="H125" i="6"/>
  <c r="F199" i="6"/>
  <c r="C247" i="6"/>
  <c r="H299" i="6"/>
  <c r="H300" i="6"/>
  <c r="H337" i="6"/>
  <c r="H338" i="6"/>
  <c r="H362" i="6"/>
  <c r="H369" i="6" s="1"/>
  <c r="H363" i="6"/>
  <c r="H383" i="6"/>
  <c r="H384" i="6" s="1"/>
  <c r="D499" i="6"/>
  <c r="H28" i="6"/>
  <c r="H37" i="6"/>
  <c r="H38" i="6"/>
  <c r="H45" i="6"/>
  <c r="H48" i="6"/>
  <c r="C99" i="6"/>
  <c r="H93" i="6"/>
  <c r="H98" i="6"/>
  <c r="C118" i="6"/>
  <c r="C130" i="6"/>
  <c r="H138" i="6"/>
  <c r="H139" i="6"/>
  <c r="H140" i="6"/>
  <c r="H184" i="6"/>
  <c r="H190" i="6"/>
  <c r="H191" i="6"/>
  <c r="H193" i="6"/>
  <c r="H194" i="6"/>
  <c r="H195" i="6"/>
  <c r="H197" i="6"/>
  <c r="D238" i="6"/>
  <c r="H236" i="6"/>
  <c r="C328" i="6"/>
  <c r="H316" i="6"/>
  <c r="H317" i="6"/>
  <c r="H321" i="6"/>
  <c r="H322" i="6"/>
  <c r="H332" i="6"/>
  <c r="H333" i="6" s="1"/>
  <c r="H372" i="6"/>
  <c r="H377" i="6"/>
  <c r="D399" i="6"/>
  <c r="H393" i="6"/>
  <c r="H396" i="6"/>
  <c r="H397" i="6"/>
  <c r="H416" i="6"/>
  <c r="C438" i="6"/>
  <c r="H489" i="6"/>
  <c r="E499" i="6"/>
  <c r="G499" i="6"/>
  <c r="F499" i="6"/>
  <c r="C30" i="6"/>
  <c r="C52" i="6"/>
  <c r="C57" i="6" s="1"/>
  <c r="C276" i="6"/>
  <c r="C292" i="6"/>
  <c r="C302" i="6"/>
  <c r="C333" i="6"/>
  <c r="H7" i="6"/>
  <c r="H8" i="6"/>
  <c r="H9" i="6"/>
  <c r="H10" i="6"/>
  <c r="H11" i="6"/>
  <c r="H12" i="6"/>
  <c r="H13" i="6"/>
  <c r="H14" i="6"/>
  <c r="D52" i="6"/>
  <c r="D57" i="6" s="1"/>
  <c r="H50" i="6"/>
  <c r="H51" i="6"/>
  <c r="H55" i="6"/>
  <c r="H56" i="6" s="1"/>
  <c r="H124" i="6"/>
  <c r="H130" i="6" s="1"/>
  <c r="D143" i="6"/>
  <c r="H142" i="6"/>
  <c r="H179" i="6"/>
  <c r="C185" i="6"/>
  <c r="E199" i="6"/>
  <c r="C228" i="6"/>
  <c r="H226" i="6"/>
  <c r="H234" i="6"/>
  <c r="D257" i="6"/>
  <c r="F293" i="6"/>
  <c r="H261" i="6"/>
  <c r="H262" i="6"/>
  <c r="E385" i="6"/>
  <c r="G385" i="6"/>
  <c r="H347" i="6"/>
  <c r="H391" i="6"/>
  <c r="D423" i="6"/>
  <c r="D438" i="6"/>
  <c r="D444" i="6" s="1"/>
  <c r="G178" i="6"/>
  <c r="G187" i="6" s="1"/>
  <c r="G204" i="6" s="1"/>
  <c r="G212" i="6" s="1"/>
  <c r="G233" i="6" s="1"/>
  <c r="G243" i="6" s="1"/>
  <c r="G252" i="6" s="1"/>
  <c r="G259" i="6" s="1"/>
  <c r="G266" i="6" s="1"/>
  <c r="G278" i="6" s="1"/>
  <c r="G298" i="6" s="1"/>
  <c r="G307" i="6" s="1"/>
  <c r="G314" i="6" s="1"/>
  <c r="G171" i="6"/>
  <c r="H6" i="6"/>
  <c r="H36" i="6"/>
  <c r="H49" i="6"/>
  <c r="H63" i="6"/>
  <c r="H64" i="6" s="1"/>
  <c r="H77" i="6"/>
  <c r="H79" i="6" s="1"/>
  <c r="H92" i="6"/>
  <c r="H105" i="6"/>
  <c r="H106" i="6" s="1"/>
  <c r="H149" i="6"/>
  <c r="H151" i="6" s="1"/>
  <c r="H165" i="6"/>
  <c r="H166" i="6" s="1"/>
  <c r="G199" i="6"/>
  <c r="C198" i="6"/>
  <c r="C199" i="6" s="1"/>
  <c r="H235" i="6"/>
  <c r="C238" i="6"/>
  <c r="D264" i="6"/>
  <c r="H301" i="6"/>
  <c r="H302" i="6" s="1"/>
  <c r="D328" i="6"/>
  <c r="H21" i="6"/>
  <c r="H22" i="6" s="1"/>
  <c r="H29" i="6"/>
  <c r="H85" i="6"/>
  <c r="H86" i="6" s="1"/>
  <c r="H113" i="6"/>
  <c r="H118" i="6" s="1"/>
  <c r="H136" i="6"/>
  <c r="H157" i="6"/>
  <c r="H159" i="6" s="1"/>
  <c r="H180" i="6"/>
  <c r="H213" i="6"/>
  <c r="H228" i="6" s="1"/>
  <c r="H253" i="6"/>
  <c r="H268" i="6"/>
  <c r="H281" i="6"/>
  <c r="C343" i="6"/>
  <c r="E515" i="6"/>
  <c r="D185" i="6"/>
  <c r="D199" i="6" s="1"/>
  <c r="H182" i="6"/>
  <c r="H188" i="6"/>
  <c r="H189" i="6"/>
  <c r="H192" i="6"/>
  <c r="H196" i="6"/>
  <c r="H254" i="6"/>
  <c r="E293" i="6"/>
  <c r="G293" i="6"/>
  <c r="H260" i="6"/>
  <c r="H263" i="6"/>
  <c r="D276" i="6"/>
  <c r="H269" i="6"/>
  <c r="H273" i="6"/>
  <c r="H279" i="6"/>
  <c r="H282" i="6"/>
  <c r="H286" i="6"/>
  <c r="H290" i="6"/>
  <c r="H315" i="6"/>
  <c r="H318" i="6"/>
  <c r="F385" i="6"/>
  <c r="H336" i="6"/>
  <c r="H343" i="6" s="1"/>
  <c r="C369" i="6"/>
  <c r="D380" i="6"/>
  <c r="H379" i="6"/>
  <c r="C380" i="6"/>
  <c r="C408" i="6"/>
  <c r="C423" i="6"/>
  <c r="H414" i="6"/>
  <c r="H423" i="6" s="1"/>
  <c r="H430" i="6"/>
  <c r="H443" i="6"/>
  <c r="C443" i="6"/>
  <c r="C489" i="6"/>
  <c r="C498" i="6"/>
  <c r="H505" i="6"/>
  <c r="H506" i="6" s="1"/>
  <c r="C506" i="6"/>
  <c r="H399" i="6"/>
  <c r="C399" i="6"/>
  <c r="C444" i="6"/>
  <c r="H429" i="6"/>
  <c r="E517" i="6"/>
  <c r="H205" i="6"/>
  <c r="H207" i="6" s="1"/>
  <c r="H244" i="6"/>
  <c r="H247" i="6" s="1"/>
  <c r="H346" i="6"/>
  <c r="H405" i="6"/>
  <c r="H408" i="6" s="1"/>
  <c r="H498" i="6"/>
  <c r="E516" i="6"/>
  <c r="H499" i="6" l="1"/>
  <c r="H30" i="6"/>
  <c r="H238" i="6"/>
  <c r="H99" i="6"/>
  <c r="H39" i="6"/>
  <c r="C293" i="6"/>
  <c r="H380" i="6"/>
  <c r="H349" i="6"/>
  <c r="H438" i="6"/>
  <c r="H444" i="6" s="1"/>
  <c r="H143" i="6"/>
  <c r="D293" i="6"/>
  <c r="H328" i="6"/>
  <c r="H276" i="6"/>
  <c r="C385" i="6"/>
  <c r="H185" i="6"/>
  <c r="H52" i="6"/>
  <c r="H57" i="6" s="1"/>
  <c r="H15" i="6"/>
  <c r="H385" i="6"/>
  <c r="H292" i="6"/>
  <c r="H198" i="6"/>
  <c r="G330" i="6"/>
  <c r="G335" i="6"/>
  <c r="G345" i="6" s="1"/>
  <c r="G351" i="6" s="1"/>
  <c r="G371" i="6" s="1"/>
  <c r="G382" i="6" s="1"/>
  <c r="G390" i="6" s="1"/>
  <c r="G404" i="6" s="1"/>
  <c r="G413" i="6" s="1"/>
  <c r="G428" i="6" s="1"/>
  <c r="G440" i="6" s="1"/>
  <c r="G449" i="6" s="1"/>
  <c r="C499" i="6"/>
  <c r="H264" i="6"/>
  <c r="H257" i="6"/>
  <c r="D385" i="6"/>
  <c r="H199" i="6" l="1"/>
  <c r="H293" i="6"/>
</calcChain>
</file>

<file path=xl/sharedStrings.xml><?xml version="1.0" encoding="utf-8"?>
<sst xmlns="http://schemas.openxmlformats.org/spreadsheetml/2006/main" count="900" uniqueCount="400">
  <si>
    <t>GOBIERNO MUNICIPAL DE AYOTLÁN, JALISCO</t>
  </si>
  <si>
    <t>ADMINISTRACIÓN 2021-2024</t>
  </si>
  <si>
    <t>Nómina que corresponde a la 2da.  (SEGUNDA   ) quincena del mes de  ENERO de 2024.</t>
  </si>
  <si>
    <t>NOMBRE</t>
  </si>
  <si>
    <t>PUESTO</t>
  </si>
  <si>
    <t>SUELDO</t>
  </si>
  <si>
    <t>RETENCION</t>
  </si>
  <si>
    <t>S.E.</t>
  </si>
  <si>
    <t>APOYO ALIMENTO</t>
  </si>
  <si>
    <t>COMPENSACIONES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</si>
  <si>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</si>
  <si>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</si>
  <si>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</si>
  <si>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</si>
  <si>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</si>
  <si>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</si>
  <si>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</si>
  <si>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Regidor </t>
  </si>
  <si>
    <t xml:space="preserve">Guillermo Amezola Fonseca </t>
  </si>
  <si>
    <t xml:space="preserve">Guillermo Rodriguez Escoto 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</si>
  <si>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</si>
  <si>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</si>
  <si>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</si>
  <si>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</si>
  <si>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Rodolfo Hernandez Sanchez </t>
  </si>
  <si>
    <t>Presidente.</t>
  </si>
  <si>
    <t xml:space="preserve">Jose Alberto Saavedra Martinez </t>
  </si>
  <si>
    <t>Secretario General</t>
  </si>
  <si>
    <t>Rocio Patricia Chávez Ortiz.</t>
  </si>
  <si>
    <t>Secretaria.</t>
  </si>
  <si>
    <t xml:space="preserve">Perlita Grosdana Rodriguez Castillo </t>
  </si>
  <si>
    <t>Sindico</t>
  </si>
  <si>
    <t xml:space="preserve">Francisco Javier  Velasco Tabarez </t>
  </si>
  <si>
    <t>Asesor Jurídico.</t>
  </si>
  <si>
    <t>María Elisabeth Hurtado Villaseñor.</t>
  </si>
  <si>
    <t>Secretaria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</si>
  <si>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</si>
  <si>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</si>
  <si>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</si>
  <si>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</si>
  <si>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</si>
  <si>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</si>
  <si>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</si>
  <si>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</si>
  <si>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</si>
  <si>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</si>
  <si>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</si>
  <si>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</si>
  <si>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</si>
  <si>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</si>
  <si>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</si>
  <si>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</si>
  <si>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</si>
  <si>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</si>
  <si>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</si>
  <si>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</si>
  <si>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</si>
  <si>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</si>
  <si>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</si>
  <si>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 xml:space="preserve">Soledad Cardenas Morales </t>
  </si>
  <si>
    <t>Directora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</si>
  <si>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</si>
  <si>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</si>
  <si>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</si>
  <si>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</si>
  <si>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</si>
  <si>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</si>
  <si>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</si>
  <si>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</si>
  <si>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</si>
  <si>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>Agustin Mendez Morales</t>
  </si>
  <si>
    <t>Auxiliar  administrativa comunicación social</t>
  </si>
  <si>
    <t xml:space="preserve">Mariana Arambula Alatorre 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</si>
  <si>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</si>
  <si>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</si>
  <si>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</si>
  <si>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</si>
  <si>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</si>
  <si>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</si>
  <si>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</si>
  <si>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>Agustin Bautista Navarrete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</si>
  <si>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</si>
  <si>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</si>
  <si>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</si>
  <si>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</si>
  <si>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</si>
  <si>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</si>
  <si>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</si>
  <si>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Jose Martin Trejo Arambula</t>
  </si>
  <si>
    <t xml:space="preserve">Odelinda Covarrubias Estrada 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</si>
  <si>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</si>
  <si>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</si>
  <si>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</si>
  <si>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</si>
  <si>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</si>
  <si>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</si>
  <si>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Jaime Alejandro Davalos Robles.</t>
  </si>
  <si>
    <t>Chofer escolar del CAM.</t>
  </si>
  <si>
    <t>Alejandro Barrera Hernández.</t>
  </si>
  <si>
    <t>Porfirio Rocha Escoto</t>
  </si>
  <si>
    <t>Vicente Velazquez Camarena</t>
  </si>
  <si>
    <t>Secretario atencion ciudadana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</si>
  <si>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</si>
  <si>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</si>
  <si>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</si>
  <si>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</si>
  <si>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</si>
  <si>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</si>
  <si>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</si>
  <si>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</si>
  <si>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 xml:space="preserve">Claudia Ibet Ayala Razo 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</si>
  <si>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</si>
  <si>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</si>
  <si>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</si>
  <si>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</si>
  <si>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</si>
  <si>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</si>
  <si>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Miguel Trejo Arámbula.</t>
  </si>
  <si>
    <t>Operador.</t>
  </si>
  <si>
    <t>Alfredo González Rodríguez.</t>
  </si>
  <si>
    <t>Luis Alberto Mora Ruiz</t>
  </si>
  <si>
    <t>Israel Molina Flores</t>
  </si>
  <si>
    <t>Ignacio Aceves Hernandez</t>
  </si>
  <si>
    <t>Chofer</t>
  </si>
  <si>
    <t>Juan Antonio Guzman Soto</t>
  </si>
  <si>
    <t>Jose de Jesus Medina Banda</t>
  </si>
  <si>
    <t>Fidel Cortes Garibay.</t>
  </si>
  <si>
    <t>Operador</t>
  </si>
  <si>
    <t xml:space="preserve">Martha Nayeli Serratos Quiroz </t>
  </si>
  <si>
    <t>Elizabeth Rodriguez</t>
  </si>
  <si>
    <t>Auxiliar Administrativa</t>
  </si>
  <si>
    <t>22) DIRECCIÓN DE PROTECCIÓN CIVIL (PC).</t>
  </si>
  <si>
    <t xml:space="preserve">Fernando Guzman Barrera </t>
  </si>
  <si>
    <t>José Manuel Zarate Romero.</t>
  </si>
  <si>
    <t>Primer comandante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</si>
  <si>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</si>
  <si>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</si>
  <si>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</si>
  <si>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</si>
  <si>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</si>
  <si>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</si>
  <si>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</si>
  <si>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</si>
  <si>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</si>
  <si>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</si>
  <si>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</si>
  <si>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</si>
  <si>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</si>
  <si>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</si>
  <si>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</si>
  <si>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</si>
  <si>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Hector Copado Rizo</t>
  </si>
  <si>
    <t>Chofer Vehiculos de Emergencia</t>
  </si>
  <si>
    <t>Benjamin Apolonio Murillo</t>
  </si>
  <si>
    <t xml:space="preserve">Eduardo Murillo Zendejas 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</si>
  <si>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</si>
  <si>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</si>
  <si>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</si>
  <si>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</si>
  <si>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</si>
  <si>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</si>
  <si>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</si>
  <si>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</si>
  <si>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</si>
  <si>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</si>
  <si>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Antonio Herrera Lopez</t>
  </si>
  <si>
    <t>Auxiliar</t>
  </si>
  <si>
    <t>Juan Gabriel Rea Álvarez.</t>
  </si>
  <si>
    <t>Comandante.</t>
  </si>
  <si>
    <t>Abel González Tovar.</t>
  </si>
  <si>
    <t>Teniente.</t>
  </si>
  <si>
    <t>Carlos González Vargas.</t>
  </si>
  <si>
    <t>Cruz Augusto Ramirez Mulgado</t>
  </si>
  <si>
    <t>Christian Adrian Gomez Mojica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</si>
  <si>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</si>
  <si>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</si>
  <si>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</si>
  <si>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</si>
  <si>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</si>
  <si>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</si>
  <si>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Alex Ivan Salcedo Montes</t>
  </si>
  <si>
    <t>Juan Manuel Tovar Dominguez</t>
  </si>
  <si>
    <t>Antony Fabian Trejo Banda</t>
  </si>
  <si>
    <t xml:space="preserve">Jose Daniel Benitez Perez </t>
  </si>
  <si>
    <t>Julia Erendira García Barajas.</t>
  </si>
  <si>
    <t>Ramón Gómez Sotelo.</t>
  </si>
  <si>
    <t>Linea.</t>
  </si>
  <si>
    <t>Juan Hernández Zuñiga.</t>
  </si>
  <si>
    <t>Miguel Angel Saldaña Luviano</t>
  </si>
  <si>
    <t xml:space="preserve">Arturo Javier Redrujo Gonzalez </t>
  </si>
  <si>
    <t>Jose Manuel Alvarado Rivera</t>
  </si>
  <si>
    <t>Jose de Jesus Rizo Garcia</t>
  </si>
  <si>
    <t>David Guadalupe Perez Lopez</t>
  </si>
  <si>
    <t>Luis Ignacio Enrique Delgadillo</t>
  </si>
  <si>
    <t>Fernando Ignacio Leon Flores</t>
  </si>
  <si>
    <t>Edgar Mauricio Garcia Vera</t>
  </si>
  <si>
    <t>Salvador Ulises Rodriguez Mendez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</si>
  <si>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</si>
  <si>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</si>
  <si>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</si>
  <si>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</si>
  <si>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</si>
  <si>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</si>
  <si>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</si>
  <si>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</si>
  <si>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</si>
  <si>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</si>
  <si>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</si>
  <si>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</si>
  <si>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</si>
  <si>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</si>
  <si>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</si>
  <si>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</si>
  <si>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</si>
  <si>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</si>
  <si>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</si>
  <si>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</si>
  <si>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</si>
  <si>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</si>
  <si>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</si>
  <si>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</si>
  <si>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</si>
  <si>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</si>
  <si>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 xml:space="preserve">Erick Salvador Conchas Garcia </t>
  </si>
  <si>
    <t>Javier Lemus Lemus.</t>
  </si>
  <si>
    <t>Auxiliar de alumbrado.</t>
  </si>
  <si>
    <t>Juan José Zarate Martínez.</t>
  </si>
  <si>
    <t>Encargado de cuadrilla.</t>
  </si>
  <si>
    <t>Erika Rodarte Zarate</t>
  </si>
  <si>
    <t>José de Jesús Pérez Aguilar.</t>
  </si>
  <si>
    <t>Fontanero.</t>
  </si>
  <si>
    <t>Antonio García Medina.</t>
  </si>
  <si>
    <t>Gerardo Zarate Martínez.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</si>
  <si>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</si>
  <si>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</si>
  <si>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</si>
  <si>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</si>
  <si>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</si>
  <si>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</si>
  <si>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</si>
  <si>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</si>
  <si>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</si>
  <si>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</si>
  <si>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</si>
  <si>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</si>
  <si>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</si>
  <si>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</si>
  <si>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</si>
  <si>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</si>
  <si>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Jesús Salas Castro.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</si>
  <si>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</si>
  <si>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</si>
  <si>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</si>
  <si>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</si>
  <si>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</si>
  <si>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</si>
  <si>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</si>
  <si>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</si>
  <si>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</si>
  <si>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</si>
  <si>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</si>
  <si>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</si>
  <si>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</si>
  <si>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</si>
  <si>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</si>
  <si>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</si>
  <si>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</si>
  <si>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</si>
  <si>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</si>
  <si>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</si>
  <si>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</si>
  <si>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</si>
  <si>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</si>
  <si>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</si>
  <si>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</si>
  <si>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</si>
  <si>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</si>
  <si>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</si>
  <si>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</si>
  <si>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</si>
  <si>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</si>
  <si>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</si>
  <si>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</si>
  <si>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</si>
  <si>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Fortino Leon Sierra</t>
  </si>
  <si>
    <t>Joel Aguilar Zabalza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</si>
  <si>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</si>
  <si>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</si>
  <si>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</si>
  <si>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</si>
  <si>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</si>
  <si>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</si>
  <si>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</si>
  <si>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>Maura Flores Rodriguez</t>
  </si>
  <si>
    <t>Delegada Suplente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</si>
  <si>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</si>
  <si>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</si>
  <si>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</si>
  <si>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</si>
  <si>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</si>
  <si>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</si>
  <si>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</si>
  <si>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</si>
  <si>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</si>
  <si>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</si>
  <si>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</si>
  <si>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Manuel Rojo Hernández.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</si>
  <si>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</si>
  <si>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</si>
  <si>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</si>
  <si>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</si>
  <si>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</si>
  <si>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</si>
  <si>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</si>
  <si>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</si>
  <si>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</si>
  <si>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</si>
  <si>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</si>
  <si>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</si>
  <si>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</si>
  <si>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</si>
  <si>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</si>
  <si>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</si>
  <si>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</si>
  <si>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</si>
  <si>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</si>
  <si>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</si>
  <si>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</si>
  <si>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</si>
  <si>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</si>
  <si>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</si>
  <si>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</si>
  <si>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</si>
  <si>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</si>
  <si>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</si>
  <si>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</si>
  <si>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</si>
  <si>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</si>
  <si>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</si>
  <si>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</si>
  <si>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</si>
  <si>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</si>
  <si>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</si>
  <si>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</si>
  <si>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</si>
  <si>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</si>
  <si>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</si>
  <si>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</si>
  <si>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</si>
  <si>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</si>
  <si>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</si>
  <si>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</si>
  <si>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</si>
  <si>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</si>
  <si>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</si>
  <si>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</si>
  <si>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</si>
  <si>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</si>
  <si>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</si>
  <si>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</si>
  <si>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</si>
  <si>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</si>
  <si>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</si>
  <si>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</si>
  <si>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</si>
  <si>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</si>
  <si>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</si>
  <si>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</si>
  <si>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</si>
  <si>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</si>
  <si>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</si>
  <si>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</si>
  <si>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</si>
  <si>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</si>
  <si>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</si>
  <si>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</si>
  <si>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</si>
  <si>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</si>
  <si>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</si>
  <si>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</si>
  <si>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</si>
  <si>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Esmeralda Ángel Moreno.</t>
  </si>
  <si>
    <t>Lourdes Garcia Esquivel</t>
  </si>
  <si>
    <t>Jorge Alberto Navarro Gaytan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</si>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</sst>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.00\ &quot;€&quot;_-;\-* #,##0.00\ &quot;€&quot;_-;_-* &quot;-&quot;??\ &quot;€&quot;_-;_-@_-"/>
    <numFmt numFmtId="167" formatCode="&quot;$&quot;#,##0.00"/>
  </numFmts>
  <fonts count="53">
    <font>
      <sz val="10"/>
      <name val="Arial"/>
      <charset val="134"/>
    </font>
    <font>
      <sz val="12"/>
      <name val="Arial"/>
      <charset val="134"/>
    </font>
    <font>
      <sz val="6"/>
      <name val="Arial"/>
      <charset val="134"/>
    </font>
    <font>
      <b/>
      <sz val="10"/>
      <name val="Bookman Old Style"/>
      <charset val="134"/>
    </font>
    <font>
      <b/>
      <sz val="6"/>
      <name val="Bookman Old Style"/>
      <charset val="134"/>
    </font>
    <font>
      <b/>
      <sz val="10"/>
      <color theme="1" tint="0.499984740745262"/>
      <name val="Bookman Old Style"/>
      <charset val="134"/>
    </font>
    <font>
      <b/>
      <sz val="6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6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b/>
      <sz val="6"/>
      <color theme="9" tint="-0.249977111117893"/>
      <name val="Arial"/>
      <charset val="134"/>
    </font>
    <font>
      <sz val="12"/>
      <color theme="1"/>
      <name val="Arial"/>
      <charset val="134"/>
    </font>
    <font>
      <b/>
      <sz val="12"/>
      <name val="Arial"/>
      <charset val="134"/>
    </font>
    <font>
      <b/>
      <sz val="12"/>
      <color rgb="FF7030A0"/>
      <name val="Arial"/>
      <charset val="134"/>
    </font>
    <font>
      <b/>
      <sz val="6"/>
      <name val="Arial"/>
      <charset val="134"/>
    </font>
    <font>
      <b/>
      <sz val="12"/>
      <color indexed="8"/>
      <name val="Arial"/>
      <charset val="134"/>
    </font>
    <font>
      <b/>
      <sz val="10"/>
      <color theme="9" tint="-0.249977111117893"/>
      <name val="Bookman Old Style"/>
      <charset val="134"/>
    </font>
    <font>
      <sz val="10"/>
      <name val="Bookman Old Style"/>
      <charset val="134"/>
    </font>
    <font>
      <sz val="10"/>
      <name val="Arial"/>
      <charset val="134"/>
    </font>
    <font>
      <b/>
      <sz val="6"/>
      <color rgb="FF7030A0"/>
      <name val="Arial"/>
      <charset val="134"/>
    </font>
    <font>
      <sz val="14"/>
      <name val="Arial"/>
      <charset val="134"/>
    </font>
    <font>
      <b/>
      <sz val="14"/>
      <color rgb="FFFF0000"/>
      <name val="Bookman Old Style"/>
      <charset val="134"/>
    </font>
    <font>
      <b/>
      <sz val="6"/>
      <color rgb="FFFF0000"/>
      <name val="Bookman Old Style"/>
      <charset val="134"/>
    </font>
    <font>
      <b/>
      <sz val="6"/>
      <color theme="2" tint="-0.89996032593768116"/>
      <name val="Arial"/>
      <charset val="134"/>
    </font>
    <font>
      <b/>
      <sz val="10"/>
      <color theme="1" tint="0.34998626667073579"/>
      <name val="Bookman Old Style"/>
      <charset val="134"/>
    </font>
    <font>
      <b/>
      <sz val="6"/>
      <color theme="1" tint="0.34998626667073579"/>
      <name val="Bookman Old Style"/>
      <charset val="134"/>
    </font>
    <font>
      <b/>
      <sz val="6"/>
      <color theme="1" tint="0.34998626667073579"/>
      <name val="Arial"/>
      <charset val="134"/>
    </font>
    <font>
      <b/>
      <sz val="12"/>
      <color theme="1" tint="0.34998626667073579"/>
      <name val="Arial"/>
      <charset val="134"/>
    </font>
    <font>
      <b/>
      <sz val="12"/>
      <color indexed="63"/>
      <name val="Arial"/>
      <charset val="134"/>
    </font>
    <font>
      <b/>
      <sz val="6"/>
      <color indexed="63"/>
      <name val="Arial"/>
      <charset val="134"/>
    </font>
    <font>
      <b/>
      <sz val="12"/>
      <color theme="1"/>
      <name val="Arial"/>
      <charset val="134"/>
    </font>
    <font>
      <sz val="6"/>
      <color theme="2" tint="-0.89996032593768116"/>
      <name val="Arial"/>
      <charset val="134"/>
    </font>
    <font>
      <sz val="12"/>
      <color indexed="8"/>
      <name val="Arial"/>
      <charset val="134"/>
    </font>
    <font>
      <sz val="6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6"/>
      <color theme="1"/>
      <name val="Arial"/>
      <charset val="134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41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36" fillId="10" borderId="32" applyNumberFormat="0" applyAlignment="0" applyProtection="0"/>
    <xf numFmtId="0" fontId="37" fillId="11" borderId="32" applyNumberFormat="0" applyAlignment="0" applyProtection="0"/>
    <xf numFmtId="0" fontId="34" fillId="12" borderId="0" applyNumberFormat="0" applyBorder="0" applyAlignment="0" applyProtection="0"/>
    <xf numFmtId="0" fontId="34" fillId="3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4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16" borderId="0" applyNumberFormat="0" applyBorder="0" applyAlignment="0" applyProtection="0"/>
    <xf numFmtId="0" fontId="38" fillId="18" borderId="0" applyNumberFormat="0" applyBorder="0" applyAlignment="0" applyProtection="0"/>
    <xf numFmtId="0" fontId="38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9" borderId="0" applyNumberFormat="0" applyBorder="0" applyAlignment="0" applyProtection="0"/>
    <xf numFmtId="0" fontId="40" fillId="14" borderId="0" applyNumberFormat="0" applyBorder="0" applyAlignment="0" applyProtection="0"/>
    <xf numFmtId="0" fontId="41" fillId="30" borderId="33" applyNumberFormat="0" applyAlignment="0" applyProtection="0"/>
    <xf numFmtId="0" fontId="42" fillId="31" borderId="34" applyNumberFormat="0" applyAlignment="0" applyProtection="0"/>
    <xf numFmtId="166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5" fillId="0" borderId="35" applyNumberFormat="0" applyFill="0" applyAlignment="0" applyProtection="0"/>
    <xf numFmtId="0" fontId="46" fillId="0" borderId="36" applyNumberFormat="0" applyFill="0" applyAlignment="0" applyProtection="0"/>
    <xf numFmtId="0" fontId="47" fillId="0" borderId="37" applyNumberFormat="0" applyFill="0" applyAlignment="0" applyProtection="0"/>
    <xf numFmtId="0" fontId="47" fillId="0" borderId="0" applyNumberFormat="0" applyFill="0" applyBorder="0" applyAlignment="0" applyProtection="0"/>
    <xf numFmtId="0" fontId="48" fillId="4" borderId="33" applyNumberFormat="0" applyAlignment="0" applyProtection="0"/>
    <xf numFmtId="0" fontId="49" fillId="0" borderId="38" applyNumberFormat="0" applyFill="0" applyAlignment="0" applyProtection="0"/>
    <xf numFmtId="0" fontId="18" fillId="0" borderId="0"/>
    <xf numFmtId="0" fontId="18" fillId="32" borderId="39" applyNumberFormat="0" applyFont="0" applyAlignment="0" applyProtection="0"/>
    <xf numFmtId="0" fontId="50" fillId="30" borderId="40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</cellStyleXfs>
  <cellXfs count="265">
    <xf numFmtId="0" fontId="0" fillId="0" borderId="0" xfId="0"/>
    <xf numFmtId="0" fontId="1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0" applyFont="1" applyFill="1"/>
    <xf numFmtId="44" fontId="12" fillId="0" borderId="0" xfId="0" applyNumberFormat="1" applyFont="1" applyFill="1" applyBorder="1" applyAlignment="1"/>
    <xf numFmtId="165" fontId="10" fillId="0" borderId="0" xfId="2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65" fontId="10" fillId="0" borderId="0" xfId="2" applyFont="1" applyFill="1" applyBorder="1" applyAlignment="1">
      <alignment horizontal="center" vertical="center" wrapText="1"/>
    </xf>
    <xf numFmtId="167" fontId="2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17" fillId="7" borderId="0" xfId="0" applyFont="1" applyFill="1"/>
    <xf numFmtId="0" fontId="17" fillId="6" borderId="0" xfId="0" applyFont="1" applyFill="1"/>
    <xf numFmtId="0" fontId="17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165" fontId="23" fillId="0" borderId="0" xfId="2" applyFont="1" applyFill="1"/>
    <xf numFmtId="167" fontId="1" fillId="0" borderId="0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167" fontId="1" fillId="5" borderId="1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167" fontId="12" fillId="2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5" borderId="14" xfId="0" applyFont="1" applyFill="1" applyBorder="1" applyAlignment="1">
      <alignment horizontal="center" vertical="center" wrapText="1"/>
    </xf>
    <xf numFmtId="167" fontId="1" fillId="5" borderId="0" xfId="0" applyNumberFormat="1" applyFont="1" applyFill="1" applyBorder="1" applyAlignment="1">
      <alignment horizontal="center" vertical="center" wrapText="1"/>
    </xf>
    <xf numFmtId="167" fontId="1" fillId="5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5" borderId="10" xfId="0" applyFont="1" applyFill="1" applyBorder="1" applyAlignment="1">
      <alignment horizontal="center" vertical="center" wrapText="1"/>
    </xf>
    <xf numFmtId="167" fontId="1" fillId="5" borderId="0" xfId="0" applyNumberFormat="1" applyFont="1" applyFill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167" fontId="1" fillId="0" borderId="16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1" fillId="5" borderId="0" xfId="0" applyFont="1" applyFill="1" applyBorder="1" applyAlignment="1">
      <alignment horizontal="left" vertical="center" wrapText="1"/>
    </xf>
    <xf numFmtId="167" fontId="1" fillId="0" borderId="17" xfId="0" applyNumberFormat="1" applyFont="1" applyBorder="1" applyAlignment="1">
      <alignment horizontal="center" vertical="center"/>
    </xf>
    <xf numFmtId="167" fontId="1" fillId="6" borderId="1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167" fontId="1" fillId="0" borderId="18" xfId="0" applyNumberFormat="1" applyFont="1" applyBorder="1" applyAlignment="1">
      <alignment horizontal="center" vertical="center"/>
    </xf>
    <xf numFmtId="167" fontId="12" fillId="2" borderId="19" xfId="0" applyNumberFormat="1" applyFont="1" applyFill="1" applyBorder="1" applyAlignment="1">
      <alignment horizontal="right"/>
    </xf>
    <xf numFmtId="167" fontId="12" fillId="2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28" fillId="0" borderId="0" xfId="46" applyFont="1" applyFill="1" applyBorder="1" applyAlignment="1">
      <alignment horizontal="center" vertical="center"/>
    </xf>
    <xf numFmtId="167" fontId="28" fillId="8" borderId="13" xfId="46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67" fontId="1" fillId="0" borderId="0" xfId="0" applyNumberFormat="1" applyFont="1" applyFill="1" applyAlignment="1">
      <alignment horizontal="center" vertical="center"/>
    </xf>
    <xf numFmtId="167" fontId="14" fillId="0" borderId="0" xfId="0" applyNumberFormat="1" applyFont="1" applyFill="1" applyAlignment="1">
      <alignment horizontal="center" vertical="center"/>
    </xf>
    <xf numFmtId="167" fontId="14" fillId="2" borderId="1" xfId="0" applyNumberFormat="1" applyFont="1" applyFill="1" applyBorder="1" applyAlignment="1">
      <alignment horizontal="center" vertical="center"/>
    </xf>
    <xf numFmtId="167" fontId="2" fillId="5" borderId="13" xfId="0" applyNumberFormat="1" applyFont="1" applyFill="1" applyBorder="1" applyAlignment="1">
      <alignment horizontal="center" vertical="center"/>
    </xf>
    <xf numFmtId="167" fontId="14" fillId="2" borderId="0" xfId="0" applyNumberFormat="1" applyFont="1" applyFill="1" applyAlignment="1">
      <alignment horizontal="center" vertical="center"/>
    </xf>
    <xf numFmtId="167" fontId="2" fillId="5" borderId="0" xfId="0" applyNumberFormat="1" applyFont="1" applyFill="1" applyBorder="1" applyAlignment="1">
      <alignment horizontal="center" vertical="center"/>
    </xf>
    <xf numFmtId="42" fontId="10" fillId="0" borderId="0" xfId="3" applyFont="1" applyFill="1" applyBorder="1" applyAlignment="1">
      <alignment horizontal="center" vertical="center"/>
    </xf>
    <xf numFmtId="167" fontId="2" fillId="5" borderId="0" xfId="0" applyNumberFormat="1" applyFont="1" applyFill="1" applyAlignment="1">
      <alignment horizontal="center" vertical="center"/>
    </xf>
    <xf numFmtId="167" fontId="14" fillId="5" borderId="0" xfId="0" applyNumberFormat="1" applyFont="1" applyFill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7" fontId="14" fillId="0" borderId="0" xfId="0" applyNumberFormat="1" applyFont="1" applyFill="1" applyBorder="1" applyAlignment="1">
      <alignment horizontal="center" vertical="center"/>
    </xf>
    <xf numFmtId="167" fontId="1" fillId="0" borderId="13" xfId="0" applyNumberFormat="1" applyFont="1" applyBorder="1" applyAlignment="1">
      <alignment horizontal="center" vertical="center"/>
    </xf>
    <xf numFmtId="165" fontId="23" fillId="0" borderId="0" xfId="2" applyFont="1" applyFill="1" applyAlignment="1">
      <alignment horizontal="center"/>
    </xf>
    <xf numFmtId="165" fontId="23" fillId="0" borderId="0" xfId="2" applyFont="1" applyFill="1" applyAlignment="1">
      <alignment horizontal="center" vertical="center"/>
    </xf>
    <xf numFmtId="167" fontId="14" fillId="5" borderId="0" xfId="0" applyNumberFormat="1" applyFont="1" applyFill="1" applyBorder="1" applyAlignment="1">
      <alignment horizontal="center" vertical="center"/>
    </xf>
    <xf numFmtId="167" fontId="1" fillId="0" borderId="20" xfId="0" applyNumberFormat="1" applyFont="1" applyBorder="1" applyAlignment="1">
      <alignment horizontal="center" vertical="center"/>
    </xf>
    <xf numFmtId="167" fontId="1" fillId="0" borderId="21" xfId="0" applyNumberFormat="1" applyFont="1" applyBorder="1" applyAlignment="1">
      <alignment horizontal="center" vertical="center"/>
    </xf>
    <xf numFmtId="167" fontId="14" fillId="2" borderId="19" xfId="0" applyNumberFormat="1" applyFont="1" applyFill="1" applyBorder="1" applyAlignment="1">
      <alignment horizontal="right"/>
    </xf>
    <xf numFmtId="167" fontId="12" fillId="2" borderId="0" xfId="0" applyNumberFormat="1" applyFont="1" applyFill="1" applyAlignment="1">
      <alignment horizontal="right" vertical="center"/>
    </xf>
    <xf numFmtId="167" fontId="14" fillId="2" borderId="0" xfId="0" applyNumberFormat="1" applyFont="1" applyFill="1" applyAlignment="1">
      <alignment horizontal="right" vertical="center"/>
    </xf>
    <xf numFmtId="167" fontId="29" fillId="8" borderId="13" xfId="46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7" fontId="12" fillId="0" borderId="13" xfId="0" applyNumberFormat="1" applyFont="1" applyFill="1" applyBorder="1" applyAlignment="1">
      <alignment horizontal="center" vertical="center"/>
    </xf>
    <xf numFmtId="4" fontId="1" fillId="5" borderId="0" xfId="0" applyNumberFormat="1" applyFont="1" applyFill="1" applyAlignment="1">
      <alignment horizontal="center" vertical="center" wrapText="1"/>
    </xf>
    <xf numFmtId="167" fontId="1" fillId="5" borderId="17" xfId="0" applyNumberFormat="1" applyFont="1" applyFill="1" applyBorder="1" applyAlignment="1">
      <alignment horizontal="center" vertical="center"/>
    </xf>
    <xf numFmtId="167" fontId="1" fillId="0" borderId="23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167" fontId="12" fillId="2" borderId="1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7" fontId="1" fillId="0" borderId="24" xfId="0" applyNumberFormat="1" applyFont="1" applyBorder="1" applyAlignment="1">
      <alignment horizontal="center" vertical="center"/>
    </xf>
    <xf numFmtId="165" fontId="31" fillId="0" borderId="0" xfId="2" applyFont="1" applyFill="1" applyBorder="1" applyAlignment="1">
      <alignment horizontal="center" vertical="center"/>
    </xf>
    <xf numFmtId="167" fontId="14" fillId="0" borderId="13" xfId="0" applyNumberFormat="1" applyFont="1" applyFill="1" applyBorder="1" applyAlignment="1">
      <alignment horizontal="center" vertical="center"/>
    </xf>
    <xf numFmtId="167" fontId="23" fillId="0" borderId="13" xfId="0" applyNumberFormat="1" applyFont="1" applyFill="1" applyBorder="1" applyAlignment="1">
      <alignment horizontal="center" vertical="center"/>
    </xf>
    <xf numFmtId="167" fontId="14" fillId="0" borderId="11" xfId="0" applyNumberFormat="1" applyFont="1" applyFill="1" applyBorder="1" applyAlignment="1">
      <alignment horizontal="center" vertical="center"/>
    </xf>
    <xf numFmtId="167" fontId="1" fillId="0" borderId="13" xfId="0" applyNumberFormat="1" applyFont="1" applyFill="1" applyBorder="1" applyAlignment="1">
      <alignment horizontal="center" vertical="center"/>
    </xf>
    <xf numFmtId="167" fontId="2" fillId="0" borderId="13" xfId="0" applyNumberFormat="1" applyFont="1" applyFill="1" applyBorder="1" applyAlignment="1">
      <alignment horizontal="center" vertical="center"/>
    </xf>
    <xf numFmtId="167" fontId="14" fillId="2" borderId="1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wrapText="1"/>
    </xf>
    <xf numFmtId="167" fontId="12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167" fontId="1" fillId="6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167" fontId="32" fillId="6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167" fontId="32" fillId="0" borderId="0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1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1" fillId="5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167" fontId="14" fillId="2" borderId="0" xfId="0" applyNumberFormat="1" applyFont="1" applyFill="1" applyBorder="1" applyAlignment="1">
      <alignment horizontal="center" vertical="center"/>
    </xf>
    <xf numFmtId="167" fontId="32" fillId="0" borderId="0" xfId="0" applyNumberFormat="1" applyFont="1" applyFill="1" applyBorder="1" applyAlignment="1">
      <alignment horizontal="center" vertical="center"/>
    </xf>
    <xf numFmtId="167" fontId="33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Border="1" applyAlignment="1">
      <alignment horizontal="center"/>
    </xf>
    <xf numFmtId="167" fontId="20" fillId="0" borderId="13" xfId="0" applyNumberFormat="1" applyFont="1" applyBorder="1" applyAlignment="1">
      <alignment horizontal="center" vertical="center"/>
    </xf>
    <xf numFmtId="167" fontId="12" fillId="5" borderId="0" xfId="0" applyNumberFormat="1" applyFont="1" applyFill="1" applyBorder="1" applyAlignment="1">
      <alignment horizontal="center" vertical="center"/>
    </xf>
    <xf numFmtId="167" fontId="14" fillId="0" borderId="1" xfId="0" applyNumberFormat="1" applyFont="1" applyFill="1" applyBorder="1" applyAlignment="1">
      <alignment horizontal="center" vertical="center"/>
    </xf>
    <xf numFmtId="167" fontId="1" fillId="0" borderId="0" xfId="1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 vertical="center"/>
    </xf>
    <xf numFmtId="167" fontId="14" fillId="0" borderId="0" xfId="0" applyNumberFormat="1" applyFont="1" applyFill="1" applyAlignment="1">
      <alignment vertical="center"/>
    </xf>
    <xf numFmtId="167" fontId="1" fillId="0" borderId="0" xfId="1" applyNumberFormat="1" applyFont="1" applyFill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165" fontId="23" fillId="0" borderId="0" xfId="2" applyFont="1" applyFill="1" applyBorder="1" applyAlignment="1">
      <alignment horizontal="center" vertical="center"/>
    </xf>
    <xf numFmtId="0" fontId="1" fillId="5" borderId="0" xfId="0" applyFont="1" applyFill="1"/>
    <xf numFmtId="0" fontId="2" fillId="5" borderId="0" xfId="0" applyFont="1" applyFill="1"/>
    <xf numFmtId="167" fontId="1" fillId="0" borderId="20" xfId="0" applyNumberFormat="1" applyFont="1" applyFill="1" applyBorder="1" applyAlignment="1">
      <alignment horizontal="center" vertical="center"/>
    </xf>
    <xf numFmtId="167" fontId="1" fillId="2" borderId="2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0" borderId="26" xfId="0" applyFont="1" applyFill="1" applyBorder="1" applyAlignment="1">
      <alignment horizontal="center" vertical="center" wrapText="1"/>
    </xf>
    <xf numFmtId="167" fontId="1" fillId="6" borderId="17" xfId="0" applyNumberFormat="1" applyFont="1" applyFill="1" applyBorder="1" applyAlignment="1">
      <alignment horizontal="center" vertical="center"/>
    </xf>
    <xf numFmtId="167" fontId="1" fillId="0" borderId="27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167" fontId="1" fillId="0" borderId="17" xfId="0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12" fillId="2" borderId="13" xfId="5" applyFont="1" applyFill="1" applyBorder="1" applyAlignment="1">
      <alignment horizontal="center" vertical="center"/>
    </xf>
    <xf numFmtId="167" fontId="12" fillId="2" borderId="13" xfId="5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167" fontId="2" fillId="2" borderId="25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167" fontId="2" fillId="5" borderId="0" xfId="0" applyNumberFormat="1" applyFont="1" applyFill="1" applyAlignment="1">
      <alignment horizontal="center" vertical="center" wrapText="1"/>
    </xf>
    <xf numFmtId="167" fontId="1" fillId="6" borderId="28" xfId="0" applyNumberFormat="1" applyFont="1" applyFill="1" applyBorder="1" applyAlignment="1">
      <alignment horizontal="center" vertical="center"/>
    </xf>
    <xf numFmtId="167" fontId="1" fillId="0" borderId="11" xfId="0" applyNumberFormat="1" applyFont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167" fontId="1" fillId="0" borderId="11" xfId="0" applyNumberFormat="1" applyFont="1" applyFill="1" applyBorder="1" applyAlignment="1">
      <alignment horizontal="center" vertical="center"/>
    </xf>
    <xf numFmtId="167" fontId="1" fillId="0" borderId="29" xfId="0" applyNumberFormat="1" applyFont="1" applyFill="1" applyBorder="1" applyAlignment="1">
      <alignment horizontal="center" vertical="center"/>
    </xf>
    <xf numFmtId="167" fontId="14" fillId="2" borderId="13" xfId="5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167" fontId="12" fillId="2" borderId="2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167" fontId="1" fillId="7" borderId="0" xfId="0" applyNumberFormat="1" applyFont="1" applyFill="1" applyAlignment="1">
      <alignment horizontal="center" vertical="center"/>
    </xf>
    <xf numFmtId="167" fontId="14" fillId="0" borderId="20" xfId="0" applyNumberFormat="1" applyFont="1" applyFill="1" applyBorder="1" applyAlignment="1">
      <alignment horizontal="center" vertical="center"/>
    </xf>
    <xf numFmtId="167" fontId="14" fillId="2" borderId="25" xfId="0" applyNumberFormat="1" applyFont="1" applyFill="1" applyBorder="1" applyAlignment="1">
      <alignment horizontal="center" vertical="center"/>
    </xf>
    <xf numFmtId="167" fontId="1" fillId="0" borderId="15" xfId="0" applyNumberFormat="1" applyFont="1" applyBorder="1" applyAlignment="1">
      <alignment horizontal="center"/>
    </xf>
    <xf numFmtId="167" fontId="17" fillId="0" borderId="0" xfId="0" applyNumberFormat="1" applyFont="1" applyFill="1"/>
    <xf numFmtId="0" fontId="1" fillId="9" borderId="0" xfId="0" applyFont="1" applyFill="1" applyAlignment="1">
      <alignment horizontal="left" wrapText="1"/>
    </xf>
    <xf numFmtId="0" fontId="12" fillId="9" borderId="0" xfId="0" applyFont="1" applyFill="1" applyAlignment="1">
      <alignment horizontal="center" vertical="center" wrapText="1"/>
    </xf>
    <xf numFmtId="167" fontId="12" fillId="9" borderId="0" xfId="0" applyNumberFormat="1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 wrapText="1"/>
    </xf>
    <xf numFmtId="167" fontId="34" fillId="0" borderId="0" xfId="6" applyNumberForma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167" fontId="14" fillId="9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12" fillId="2" borderId="3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0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4" fontId="12" fillId="2" borderId="0" xfId="0" applyNumberFormat="1" applyFont="1" applyFill="1" applyAlignment="1">
      <alignment horizontal="center" vertical="center"/>
    </xf>
    <xf numFmtId="167" fontId="12" fillId="2" borderId="25" xfId="1" applyNumberFormat="1" applyFont="1" applyFill="1" applyBorder="1" applyAlignment="1">
      <alignment horizontal="center" vertical="center"/>
    </xf>
    <xf numFmtId="167" fontId="14" fillId="2" borderId="30" xfId="0" applyNumberFormat="1" applyFont="1" applyFill="1" applyBorder="1" applyAlignment="1">
      <alignment horizontal="center" vertical="center"/>
    </xf>
    <xf numFmtId="167" fontId="2" fillId="0" borderId="28" xfId="0" applyNumberFormat="1" applyFont="1" applyBorder="1" applyAlignment="1">
      <alignment horizontal="center" vertical="center"/>
    </xf>
    <xf numFmtId="167" fontId="1" fillId="5" borderId="20" xfId="0" applyNumberFormat="1" applyFont="1" applyFill="1" applyBorder="1" applyAlignment="1">
      <alignment horizontal="center" vertical="center"/>
    </xf>
    <xf numFmtId="167" fontId="2" fillId="5" borderId="20" xfId="0" applyNumberFormat="1" applyFont="1" applyFill="1" applyBorder="1" applyAlignment="1">
      <alignment horizontal="center" vertical="center"/>
    </xf>
    <xf numFmtId="167" fontId="14" fillId="0" borderId="23" xfId="0" applyNumberFormat="1" applyFont="1" applyFill="1" applyBorder="1" applyAlignment="1">
      <alignment horizontal="center" vertical="center"/>
    </xf>
    <xf numFmtId="0" fontId="13" fillId="0" borderId="0" xfId="0" applyFont="1"/>
    <xf numFmtId="165" fontId="14" fillId="0" borderId="0" xfId="2" applyFont="1" applyFill="1" applyBorder="1" applyAlignment="1">
      <alignment vertical="center"/>
    </xf>
    <xf numFmtId="167" fontId="14" fillId="2" borderId="25" xfId="1" applyNumberFormat="1" applyFont="1" applyFill="1" applyBorder="1" applyAlignment="1">
      <alignment horizontal="center" vertical="center"/>
    </xf>
    <xf numFmtId="167" fontId="32" fillId="0" borderId="0" xfId="0" applyNumberFormat="1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167" fontId="23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2" fillId="4" borderId="0" xfId="13" applyFont="1" applyBorder="1" applyAlignment="1">
      <alignment horizontal="left" vertical="center"/>
    </xf>
    <xf numFmtId="167" fontId="12" fillId="0" borderId="6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/>
    <xf numFmtId="0" fontId="12" fillId="0" borderId="0" xfId="0" applyFont="1" applyFill="1" applyBorder="1" applyAlignment="1">
      <alignment horizontal="left" vertical="center"/>
    </xf>
    <xf numFmtId="0" fontId="15" fillId="4" borderId="0" xfId="13" applyFont="1" applyBorder="1" applyAlignment="1">
      <alignment horizontal="left" vertical="center"/>
    </xf>
    <xf numFmtId="167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167" fontId="12" fillId="0" borderId="8" xfId="0" applyNumberFormat="1" applyFont="1" applyFill="1" applyBorder="1" applyAlignment="1">
      <alignment horizontal="center" vertical="center"/>
    </xf>
    <xf numFmtId="0" fontId="12" fillId="10" borderId="31" xfId="4" applyFont="1" applyBorder="1" applyAlignment="1">
      <alignment vertical="center" wrapText="1"/>
    </xf>
    <xf numFmtId="0" fontId="12" fillId="0" borderId="5" xfId="0" applyFont="1" applyFill="1" applyBorder="1" applyAlignment="1">
      <alignment horizontal="left" vertical="center" wrapText="1"/>
    </xf>
    <xf numFmtId="167" fontId="12" fillId="0" borderId="3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4" fontId="12" fillId="0" borderId="0" xfId="0" applyNumberFormat="1" applyFont="1" applyFill="1" applyBorder="1" applyAlignment="1"/>
    <xf numFmtId="0" fontId="12" fillId="0" borderId="0" xfId="0" applyFont="1" applyFill="1" applyBorder="1" applyAlignment="1"/>
    <xf numFmtId="0" fontId="30" fillId="3" borderId="6" xfId="7" applyNumberFormat="1" applyFont="1" applyBorder="1" applyAlignment="1">
      <alignment horizontal="center" vertical="center"/>
    </xf>
    <xf numFmtId="0" fontId="35" fillId="3" borderId="9" xfId="7" applyFont="1" applyBorder="1" applyAlignment="1">
      <alignment horizontal="left" vertical="center"/>
    </xf>
    <xf numFmtId="165" fontId="35" fillId="0" borderId="7" xfId="7" applyNumberFormat="1" applyFont="1" applyFill="1" applyBorder="1" applyAlignment="1">
      <alignment horizontal="left" vertical="center"/>
    </xf>
    <xf numFmtId="44" fontId="35" fillId="3" borderId="9" xfId="7" applyNumberFormat="1" applyFont="1" applyBorder="1" applyAlignment="1">
      <alignment horizontal="left" vertical="center"/>
    </xf>
    <xf numFmtId="0" fontId="30" fillId="3" borderId="8" xfId="7" applyNumberFormat="1" applyFont="1" applyBorder="1" applyAlignment="1">
      <alignment horizontal="center" vertical="center"/>
    </xf>
    <xf numFmtId="44" fontId="35" fillId="3" borderId="2" xfId="7" applyNumberFormat="1" applyFont="1" applyBorder="1" applyAlignment="1">
      <alignment horizontal="left" vertical="center"/>
    </xf>
    <xf numFmtId="165" fontId="35" fillId="0" borderId="4" xfId="7" applyNumberFormat="1" applyFont="1" applyFill="1" applyBorder="1" applyAlignment="1">
      <alignment horizontal="left" vertical="center"/>
    </xf>
    <xf numFmtId="44" fontId="14" fillId="0" borderId="0" xfId="0" applyNumberFormat="1" applyFont="1" applyFill="1" applyBorder="1" applyAlignment="1"/>
    <xf numFmtId="165" fontId="23" fillId="0" borderId="0" xfId="2" applyFont="1" applyFill="1" applyBorder="1" applyAlignment="1"/>
    <xf numFmtId="167" fontId="12" fillId="0" borderId="0" xfId="0" applyNumberFormat="1" applyFont="1" applyFill="1" applyBorder="1" applyAlignment="1"/>
    <xf numFmtId="0" fontId="14" fillId="0" borderId="0" xfId="0" applyFont="1" applyFill="1" applyBorder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4" fontId="30" fillId="3" borderId="5" xfId="7" applyNumberFormat="1" applyFont="1" applyBorder="1" applyAlignment="1">
      <alignment horizontal="center" vertical="center"/>
    </xf>
    <xf numFmtId="44" fontId="35" fillId="3" borderId="9" xfId="7" applyNumberFormat="1" applyFont="1" applyBorder="1" applyAlignment="1">
      <alignment horizontal="center" vertical="center"/>
    </xf>
    <xf numFmtId="44" fontId="35" fillId="3" borderId="7" xfId="7" applyNumberFormat="1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</cellXfs>
  <cellStyles count="49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Énfasis3" xfId="6" builtinId="38"/>
    <cellStyle name="20% - Énfasis6" xfId="7" builtinId="50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5" builtinId="22"/>
    <cellStyle name="Check Cell" xfId="34"/>
    <cellStyle name="Entrada" xfId="4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1" builtinId="3"/>
    <cellStyle name="Moneda" xfId="2" builtinId="4"/>
    <cellStyle name="Moneda [0]" xfId="3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ENERO%2024\1ER%20%20QUINCENA%20ENERO%20%20%202024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ICATURA\Downloads\2DA%20%20QUINCENA%20ENERO%20%20%202024%20BANC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%20QUINCENA%20%20ABRIL%202022,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DA%20QUINCENA%20DE%20NOVIEMBRE%20%202021,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7">
          <cell r="G7">
            <v>12431.139525000001</v>
          </cell>
          <cell r="H7">
            <v>500.78857499999998</v>
          </cell>
        </row>
        <row r="19">
          <cell r="H19">
            <v>1573.9069500000001</v>
          </cell>
        </row>
        <row r="23">
          <cell r="G23">
            <v>21572.518274999999</v>
          </cell>
          <cell r="H23">
            <v>1132.168275</v>
          </cell>
        </row>
        <row r="24">
          <cell r="G24">
            <v>7063.6733999999997</v>
          </cell>
          <cell r="H24">
            <v>228.17339999999999</v>
          </cell>
        </row>
        <row r="28">
          <cell r="G28">
            <v>21572.518274999999</v>
          </cell>
          <cell r="H28">
            <v>1132.168275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9">
          <cell r="G19">
            <v>32481.987300000001</v>
          </cell>
        </row>
        <row r="148">
          <cell r="G148">
            <v>3900</v>
          </cell>
        </row>
        <row r="205">
          <cell r="G205">
            <v>7409.7260999999999</v>
          </cell>
        </row>
        <row r="273">
          <cell r="G273">
            <v>5099.9265349999996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 refreshError="1">
        <row r="428">
          <cell r="D428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48"/>
  <sheetViews>
    <sheetView tabSelected="1" view="pageBreakPreview" zoomScale="90" zoomScaleNormal="80" zoomScalePageLayoutView="80" workbookViewId="0">
      <selection activeCell="D1" sqref="A1:D1048576"/>
    </sheetView>
  </sheetViews>
  <sheetFormatPr baseColWidth="10" defaultColWidth="11.28515625" defaultRowHeight="12.75" customHeight="1"/>
  <cols>
    <col min="1" max="1" width="20.140625" style="34" customWidth="1"/>
    <col min="2" max="2" width="13" style="15" customWidth="1"/>
    <col min="3" max="3" width="16.42578125" style="15" customWidth="1"/>
    <col min="4" max="4" width="13.28515625" style="15" customWidth="1"/>
    <col min="5" max="5" width="11" style="15" customWidth="1"/>
    <col min="6" max="6" width="8.5703125" style="35" customWidth="1"/>
    <col min="7" max="7" width="12.7109375" style="36" customWidth="1"/>
    <col min="8" max="8" width="16.85546875" style="15" customWidth="1"/>
    <col min="9" max="16384" width="11.28515625" style="20"/>
  </cols>
  <sheetData>
    <row r="1" spans="1:8" ht="15" customHeight="1">
      <c r="A1" s="237" t="s">
        <v>0</v>
      </c>
      <c r="B1" s="237"/>
      <c r="C1" s="237"/>
      <c r="D1" s="237"/>
      <c r="E1" s="237"/>
      <c r="F1" s="238"/>
      <c r="G1" s="238"/>
      <c r="H1" s="237"/>
    </row>
    <row r="2" spans="1:8" ht="15" customHeight="1">
      <c r="A2" s="237" t="s">
        <v>1</v>
      </c>
      <c r="B2" s="237"/>
      <c r="C2" s="237"/>
      <c r="D2" s="237"/>
      <c r="E2" s="237"/>
      <c r="F2" s="238"/>
      <c r="G2" s="238"/>
      <c r="H2" s="237"/>
    </row>
    <row r="3" spans="1:8" ht="15" customHeight="1">
      <c r="A3" s="239" t="s">
        <v>2</v>
      </c>
      <c r="B3" s="239"/>
      <c r="C3" s="239"/>
      <c r="D3" s="239"/>
      <c r="E3" s="239"/>
      <c r="F3" s="240"/>
      <c r="G3" s="240"/>
      <c r="H3" s="239"/>
    </row>
    <row r="4" spans="1:8" ht="15" customHeight="1">
      <c r="A4" s="262"/>
      <c r="B4" s="262"/>
      <c r="C4" s="262"/>
      <c r="D4" s="262"/>
      <c r="E4" s="262"/>
      <c r="F4" s="257"/>
      <c r="G4" s="257"/>
      <c r="H4" s="262"/>
    </row>
    <row r="5" spans="1:8" ht="31.5">
      <c r="A5" s="3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71" t="s">
        <v>8</v>
      </c>
      <c r="G5" s="71" t="s">
        <v>9</v>
      </c>
      <c r="H5" s="3" t="s">
        <v>10</v>
      </c>
    </row>
    <row r="6" spans="1:8" ht="45" customHeight="1">
      <c r="A6" s="6" t="s">
        <v>11</v>
      </c>
      <c r="B6" s="4" t="s">
        <v>12</v>
      </c>
      <c r="C6" s="37">
        <f>'[1]MADRE BANCO'!$G$7</f>
        <v>12431.139525000001</v>
      </c>
      <c r="D6" s="37">
        <f>'[1]MADRE BANCO'!$H$7</f>
        <v>500.78857499999998</v>
      </c>
      <c r="E6" s="72"/>
      <c r="F6" s="28" t="s">
        <v>13</v>
      </c>
      <c r="G6" s="73"/>
      <c r="H6" s="72">
        <f>C6-D6+G6</f>
        <v>11930.35095</v>
      </c>
    </row>
    <row r="7" spans="1:8" ht="45" customHeight="1">
      <c r="A7" s="6" t="s">
        <v>14</v>
      </c>
      <c r="B7" s="4" t="s">
        <v>12</v>
      </c>
      <c r="C7" s="37">
        <f>'[1]MADRE BANCO'!$G$7</f>
        <v>12431.139525000001</v>
      </c>
      <c r="D7" s="37">
        <f>'[1]MADRE BANCO'!$H$7</f>
        <v>500.78857499999998</v>
      </c>
      <c r="E7" s="72"/>
      <c r="F7" s="28" t="s">
        <v>13</v>
      </c>
      <c r="G7" s="73"/>
      <c r="H7" s="72">
        <f t="shared" ref="H7:H14" si="0">C7-D7+G7</f>
        <v>11930.35095</v>
      </c>
    </row>
    <row r="8" spans="1:8" ht="45" customHeight="1">
      <c r="A8" s="6" t="s">
        <v>15</v>
      </c>
      <c r="B8" s="4" t="s">
        <v>12</v>
      </c>
      <c r="C8" s="37">
        <f>'[1]MADRE BANCO'!$G$7</f>
        <v>12431.139525000001</v>
      </c>
      <c r="D8" s="37">
        <f>'[1]MADRE BANCO'!$H$7</f>
        <v>500.78857499999998</v>
      </c>
      <c r="E8" s="72"/>
      <c r="F8" s="28" t="s">
        <v>13</v>
      </c>
      <c r="G8" s="73"/>
      <c r="H8" s="72">
        <f t="shared" si="0"/>
        <v>11930.35095</v>
      </c>
    </row>
    <row r="9" spans="1:8" ht="45" customHeight="1">
      <c r="A9" s="6" t="s">
        <v>16</v>
      </c>
      <c r="B9" s="25" t="s">
        <v>17</v>
      </c>
      <c r="C9" s="37">
        <f>'[1]MADRE BANCO'!$G$7</f>
        <v>12431.139525000001</v>
      </c>
      <c r="D9" s="37">
        <f>'[1]MADRE BANCO'!$H$7</f>
        <v>500.78857499999998</v>
      </c>
      <c r="E9" s="72"/>
      <c r="F9" s="28" t="s">
        <v>13</v>
      </c>
      <c r="G9" s="73"/>
      <c r="H9" s="72">
        <f t="shared" si="0"/>
        <v>11930.35095</v>
      </c>
    </row>
    <row r="10" spans="1:8" ht="45" customHeight="1">
      <c r="A10" s="25" t="s">
        <v>18</v>
      </c>
      <c r="B10" s="4" t="s">
        <v>12</v>
      </c>
      <c r="C10" s="37">
        <f>'[1]MADRE BANCO'!$G$7</f>
        <v>12431.139525000001</v>
      </c>
      <c r="D10" s="37">
        <f>'[1]MADRE BANCO'!$H$7</f>
        <v>500.78857499999998</v>
      </c>
      <c r="E10" s="72"/>
      <c r="F10" s="28" t="s">
        <v>13</v>
      </c>
      <c r="G10" s="73"/>
      <c r="H10" s="72">
        <f t="shared" si="0"/>
        <v>11930.35095</v>
      </c>
    </row>
    <row r="11" spans="1:8" ht="45" customHeight="1">
      <c r="A11" s="6" t="s">
        <v>19</v>
      </c>
      <c r="B11" s="4" t="s">
        <v>12</v>
      </c>
      <c r="C11" s="37">
        <f>'[1]MADRE BANCO'!$G$7</f>
        <v>12431.139525000001</v>
      </c>
      <c r="D11" s="37">
        <f>'[1]MADRE BANCO'!$H$7</f>
        <v>500.78857499999998</v>
      </c>
      <c r="E11" s="72"/>
      <c r="F11" s="28" t="s">
        <v>13</v>
      </c>
      <c r="G11" s="73"/>
      <c r="H11" s="72">
        <f t="shared" si="0"/>
        <v>11930.35095</v>
      </c>
    </row>
    <row r="12" spans="1:8" ht="45" customHeight="1">
      <c r="A12" s="6" t="s">
        <v>20</v>
      </c>
      <c r="B12" s="4" t="s">
        <v>12</v>
      </c>
      <c r="C12" s="37">
        <f>'[1]MADRE BANCO'!$G$7</f>
        <v>12431.139525000001</v>
      </c>
      <c r="D12" s="37">
        <f>'[1]MADRE BANCO'!$H$7</f>
        <v>500.78857499999998</v>
      </c>
      <c r="E12" s="72"/>
      <c r="F12" s="28" t="s">
        <v>13</v>
      </c>
      <c r="G12" s="73"/>
      <c r="H12" s="72">
        <f t="shared" si="0"/>
        <v>11930.35095</v>
      </c>
    </row>
    <row r="13" spans="1:8" ht="45" customHeight="1">
      <c r="A13" s="6" t="s">
        <v>21</v>
      </c>
      <c r="B13" s="4" t="s">
        <v>12</v>
      </c>
      <c r="C13" s="37">
        <f>'[1]MADRE BANCO'!$G$7</f>
        <v>12431.139525000001</v>
      </c>
      <c r="D13" s="37">
        <f>'[1]MADRE BANCO'!$H$7</f>
        <v>500.78857499999998</v>
      </c>
      <c r="E13" s="72"/>
      <c r="F13" s="28" t="s">
        <v>13</v>
      </c>
      <c r="G13" s="73"/>
      <c r="H13" s="72">
        <f t="shared" si="0"/>
        <v>11930.35095</v>
      </c>
    </row>
    <row r="14" spans="1:8" ht="45" customHeight="1">
      <c r="A14" s="6" t="s">
        <v>22</v>
      </c>
      <c r="B14" s="4" t="s">
        <v>12</v>
      </c>
      <c r="C14" s="37">
        <f>'[1]MADRE BANCO'!$G$7</f>
        <v>12431.139525000001</v>
      </c>
      <c r="D14" s="37">
        <f>'[1]MADRE BANCO'!$H$7</f>
        <v>500.78857499999998</v>
      </c>
      <c r="E14" s="72"/>
      <c r="F14" s="28" t="s">
        <v>13</v>
      </c>
      <c r="G14" s="73"/>
      <c r="H14" s="72">
        <f t="shared" si="0"/>
        <v>11930.35095</v>
      </c>
    </row>
    <row r="15" spans="1:8" ht="25.5" customHeight="1">
      <c r="A15" s="12"/>
      <c r="B15" s="11" t="s">
        <v>23</v>
      </c>
      <c r="C15" s="38">
        <f>SUM(C6:C14)</f>
        <v>111880.25572500002</v>
      </c>
      <c r="D15" s="38">
        <f t="shared" ref="D15:H15" si="1">SUM(D6:D14)</f>
        <v>4507.0971749999999</v>
      </c>
      <c r="E15" s="38">
        <f t="shared" si="1"/>
        <v>0</v>
      </c>
      <c r="F15" s="74">
        <f t="shared" si="1"/>
        <v>0</v>
      </c>
      <c r="G15" s="74">
        <f t="shared" si="1"/>
        <v>0</v>
      </c>
      <c r="H15" s="38">
        <f t="shared" si="1"/>
        <v>107373.15854999999</v>
      </c>
    </row>
    <row r="16" spans="1:8" ht="15" customHeight="1">
      <c r="A16" s="241"/>
      <c r="B16" s="241"/>
      <c r="C16" s="241"/>
      <c r="D16" s="241"/>
      <c r="E16" s="241"/>
      <c r="F16" s="242"/>
      <c r="G16" s="242"/>
      <c r="H16" s="241"/>
    </row>
    <row r="17" spans="1:8" ht="15" customHeight="1">
      <c r="A17" s="241"/>
      <c r="B17" s="241"/>
      <c r="C17" s="241"/>
      <c r="D17" s="241"/>
      <c r="E17" s="241"/>
      <c r="F17" s="242"/>
      <c r="G17" s="242"/>
      <c r="H17" s="241"/>
    </row>
    <row r="18" spans="1:8" ht="15" customHeight="1">
      <c r="A18" s="250"/>
      <c r="B18" s="250"/>
      <c r="C18" s="250"/>
      <c r="D18" s="250"/>
      <c r="E18" s="250"/>
      <c r="F18" s="251"/>
      <c r="G18" s="251"/>
      <c r="H18" s="250"/>
    </row>
    <row r="19" spans="1:8" ht="15" customHeight="1">
      <c r="A19" s="263"/>
      <c r="B19" s="263"/>
      <c r="C19" s="263"/>
      <c r="D19" s="263"/>
      <c r="E19" s="263"/>
      <c r="F19" s="264"/>
      <c r="G19" s="264"/>
      <c r="H19" s="263"/>
    </row>
    <row r="20" spans="1:8" ht="27.75" customHeight="1">
      <c r="A20" s="40" t="str">
        <f>A5</f>
        <v>NOMBRE</v>
      </c>
      <c r="B20" s="39" t="str">
        <f>B5</f>
        <v>PUESTO</v>
      </c>
      <c r="C20" s="39" t="str">
        <f>C5</f>
        <v>SUELDO</v>
      </c>
      <c r="D20" s="39" t="str">
        <f>D5</f>
        <v>RETENCION</v>
      </c>
      <c r="E20" s="39" t="str">
        <f>E5</f>
        <v>S.E.</v>
      </c>
      <c r="F20" s="71" t="s">
        <v>8</v>
      </c>
      <c r="G20" s="27" t="str">
        <f>G5</f>
        <v>COMPENSACIONES</v>
      </c>
      <c r="H20" s="39" t="str">
        <f>H5</f>
        <v>SUELDO NETO</v>
      </c>
    </row>
    <row r="21" spans="1:8" ht="45" customHeight="1">
      <c r="A21" s="42" t="s">
        <v>24</v>
      </c>
      <c r="B21" s="41" t="s">
        <v>25</v>
      </c>
      <c r="C21" s="43">
        <f>'[2]MADRE BANCO'!$G$19</f>
        <v>32481.987300000001</v>
      </c>
      <c r="D21" s="43">
        <f>'[1]MADRE BANCO'!$H$19</f>
        <v>1573.9069500000001</v>
      </c>
      <c r="E21" s="43"/>
      <c r="F21" s="75"/>
      <c r="G21" s="75"/>
      <c r="H21" s="43">
        <f>C21-D21+E21+F21+G21</f>
        <v>30908.08035</v>
      </c>
    </row>
    <row r="22" spans="1:8" ht="25.5" customHeight="1">
      <c r="A22" s="44"/>
      <c r="B22" s="11" t="s">
        <v>23</v>
      </c>
      <c r="C22" s="45">
        <f>SUM(C21)</f>
        <v>32481.987300000001</v>
      </c>
      <c r="D22" s="45">
        <f t="shared" ref="D22:H22" si="2">SUM(D21)</f>
        <v>1573.9069500000001</v>
      </c>
      <c r="E22" s="45">
        <f t="shared" si="2"/>
        <v>0</v>
      </c>
      <c r="F22" s="76">
        <f t="shared" si="2"/>
        <v>0</v>
      </c>
      <c r="G22" s="76">
        <f t="shared" si="2"/>
        <v>0</v>
      </c>
      <c r="H22" s="45">
        <f t="shared" si="2"/>
        <v>30908.08035</v>
      </c>
    </row>
    <row r="23" spans="1:8" ht="15" customHeight="1">
      <c r="A23" s="241"/>
      <c r="B23" s="241"/>
      <c r="C23" s="241"/>
      <c r="D23" s="241"/>
      <c r="E23" s="241"/>
      <c r="F23" s="242"/>
      <c r="G23" s="242"/>
      <c r="H23" s="241"/>
    </row>
    <row r="24" spans="1:8" ht="12.75" customHeight="1">
      <c r="A24" s="241"/>
      <c r="B24" s="241"/>
      <c r="C24" s="241"/>
      <c r="D24" s="241"/>
      <c r="E24" s="241"/>
      <c r="F24" s="242"/>
      <c r="G24" s="242"/>
      <c r="H24" s="241"/>
    </row>
    <row r="25" spans="1:8" ht="18.75" customHeight="1">
      <c r="A25" s="252"/>
      <c r="B25" s="252"/>
      <c r="C25" s="252"/>
      <c r="D25" s="252"/>
      <c r="E25" s="252"/>
      <c r="F25" s="253"/>
      <c r="G25" s="253"/>
      <c r="H25" s="252"/>
    </row>
    <row r="26" spans="1:8" ht="25.5" customHeight="1">
      <c r="A26" s="263"/>
      <c r="B26" s="263"/>
      <c r="C26" s="263"/>
      <c r="D26" s="263"/>
      <c r="E26" s="263"/>
      <c r="F26" s="264"/>
      <c r="G26" s="264"/>
      <c r="H26" s="263"/>
    </row>
    <row r="27" spans="1:8" ht="32.25" customHeight="1">
      <c r="A27" s="46" t="s">
        <v>3</v>
      </c>
      <c r="B27" s="46" t="s">
        <v>4</v>
      </c>
      <c r="C27" s="46" t="s">
        <v>5</v>
      </c>
      <c r="D27" s="46" t="s">
        <v>6</v>
      </c>
      <c r="E27" s="46" t="s">
        <v>7</v>
      </c>
      <c r="F27" s="71" t="s">
        <v>8</v>
      </c>
      <c r="G27" s="17" t="str">
        <f>G20</f>
        <v>COMPENSACIONES</v>
      </c>
      <c r="H27" s="46" t="s">
        <v>10</v>
      </c>
    </row>
    <row r="28" spans="1:8" ht="50.25" customHeight="1">
      <c r="A28" s="47" t="s">
        <v>26</v>
      </c>
      <c r="B28" s="48" t="s">
        <v>27</v>
      </c>
      <c r="C28" s="49">
        <f>'[1]MADRE BANCO'!$G$23</f>
        <v>21572.518274999999</v>
      </c>
      <c r="D28" s="49">
        <f>'[1]MADRE BANCO'!$H$23</f>
        <v>1132.168275</v>
      </c>
      <c r="E28" s="49"/>
      <c r="F28" s="77"/>
      <c r="G28" s="77"/>
      <c r="H28" s="49">
        <f>C28-D28+E28+G28</f>
        <v>20440.349999999999</v>
      </c>
    </row>
    <row r="29" spans="1:8" ht="50.25" customHeight="1">
      <c r="A29" s="50" t="s">
        <v>28</v>
      </c>
      <c r="B29" s="6" t="s">
        <v>29</v>
      </c>
      <c r="C29" s="37">
        <f>'[1]MADRE BANCO'!$G$24</f>
        <v>7063.6733999999997</v>
      </c>
      <c r="D29" s="37">
        <f>'[1]MADRE BANCO'!$H$24</f>
        <v>228.17339999999999</v>
      </c>
      <c r="E29" s="37"/>
      <c r="F29" s="29"/>
      <c r="G29" s="73"/>
      <c r="H29" s="37">
        <f>C29-D29+E29+G29</f>
        <v>6835.5</v>
      </c>
    </row>
    <row r="30" spans="1:8" ht="25.5" customHeight="1">
      <c r="A30" s="51"/>
      <c r="B30" s="11" t="s">
        <v>23</v>
      </c>
      <c r="C30" s="38">
        <f t="shared" ref="C30:H30" si="3">SUM(C28:C29)</f>
        <v>28636.191674999998</v>
      </c>
      <c r="D30" s="38">
        <f t="shared" si="3"/>
        <v>1360.3416749999999</v>
      </c>
      <c r="E30" s="38">
        <f t="shared" si="3"/>
        <v>0</v>
      </c>
      <c r="F30" s="74">
        <f t="shared" si="3"/>
        <v>0</v>
      </c>
      <c r="G30" s="74">
        <f t="shared" si="3"/>
        <v>0</v>
      </c>
      <c r="H30" s="38">
        <f t="shared" si="3"/>
        <v>27275.85</v>
      </c>
    </row>
    <row r="31" spans="1:8" ht="15" customHeight="1">
      <c r="A31" s="241"/>
      <c r="B31" s="241"/>
      <c r="C31" s="241"/>
      <c r="D31" s="241"/>
      <c r="E31" s="241"/>
      <c r="F31" s="242"/>
      <c r="G31" s="242"/>
      <c r="H31" s="241"/>
    </row>
    <row r="32" spans="1:8" ht="15" customHeight="1">
      <c r="A32" s="241"/>
      <c r="B32" s="241"/>
      <c r="C32" s="241"/>
      <c r="D32" s="241"/>
      <c r="E32" s="241"/>
      <c r="F32" s="242"/>
      <c r="G32" s="242"/>
      <c r="H32" s="241"/>
    </row>
    <row r="33" spans="1:8" ht="15" customHeight="1">
      <c r="A33" s="250"/>
      <c r="B33" s="250"/>
      <c r="C33" s="250"/>
      <c r="D33" s="250"/>
      <c r="E33" s="250"/>
      <c r="F33" s="251"/>
      <c r="G33" s="251"/>
      <c r="H33" s="250"/>
    </row>
    <row r="34" spans="1:8" ht="15" customHeight="1">
      <c r="A34" s="262"/>
      <c r="B34" s="262"/>
      <c r="C34" s="262"/>
      <c r="D34" s="262"/>
      <c r="E34" s="262"/>
      <c r="F34" s="257"/>
      <c r="G34" s="257"/>
      <c r="H34" s="262"/>
    </row>
    <row r="35" spans="1:8" ht="28.5" customHeight="1">
      <c r="A35" s="46" t="s">
        <v>3</v>
      </c>
      <c r="B35" s="46" t="s">
        <v>4</v>
      </c>
      <c r="C35" s="46" t="s">
        <v>5</v>
      </c>
      <c r="D35" s="46" t="s">
        <v>6</v>
      </c>
      <c r="E35" s="46" t="s">
        <v>7</v>
      </c>
      <c r="F35" s="71" t="s">
        <v>8</v>
      </c>
      <c r="G35" s="78" t="str">
        <f>G27</f>
        <v>COMPENSACIONES</v>
      </c>
      <c r="H35" s="46" t="s">
        <v>10</v>
      </c>
    </row>
    <row r="36" spans="1:8" ht="54" customHeight="1">
      <c r="A36" s="52" t="s">
        <v>30</v>
      </c>
      <c r="B36" s="42" t="s">
        <v>31</v>
      </c>
      <c r="C36" s="53">
        <f>'[1]MADRE BANCO'!$G$28</f>
        <v>21572.518274999999</v>
      </c>
      <c r="D36" s="53">
        <f>'[1]MADRE BANCO'!$H$28</f>
        <v>1132.168275</v>
      </c>
      <c r="E36" s="53"/>
      <c r="F36" s="79"/>
      <c r="G36" s="80"/>
      <c r="H36" s="49">
        <f>C36-D36+E36+G36</f>
        <v>20440.349999999999</v>
      </c>
    </row>
    <row r="37" spans="1:8" s="30" customFormat="1" ht="51" customHeight="1">
      <c r="A37" s="6" t="s">
        <v>32</v>
      </c>
      <c r="B37" s="6" t="s">
        <v>33</v>
      </c>
      <c r="C37" s="18">
        <f>10947*1.03*1.05</f>
        <v>11839.1805</v>
      </c>
      <c r="D37" s="18">
        <f>441*1.03*1.05*1.05</f>
        <v>500.78857500000004</v>
      </c>
      <c r="E37" s="81"/>
      <c r="F37" s="82"/>
      <c r="G37" s="73"/>
      <c r="H37" s="37">
        <f>C37-D37+E37+G37</f>
        <v>11338.391925</v>
      </c>
    </row>
    <row r="38" spans="1:8" ht="44.25" customHeight="1">
      <c r="A38" s="25" t="s">
        <v>34</v>
      </c>
      <c r="B38" s="54" t="s">
        <v>35</v>
      </c>
      <c r="C38" s="55">
        <f>6474*1.04*1.05*1.05</f>
        <v>7423.0884000000005</v>
      </c>
      <c r="D38" s="83">
        <f>199*1.04*1.05*1.05</f>
        <v>228.17340000000004</v>
      </c>
      <c r="E38" s="37"/>
      <c r="F38" s="29"/>
      <c r="G38" s="73"/>
      <c r="H38" s="37">
        <f>C38-D38+E38+G38</f>
        <v>7194.9150000000009</v>
      </c>
    </row>
    <row r="39" spans="1:8" ht="25.5" customHeight="1">
      <c r="A39" s="51"/>
      <c r="B39" s="11" t="s">
        <v>23</v>
      </c>
      <c r="C39" s="38">
        <f>SUM(C36:C38)</f>
        <v>40834.787174999998</v>
      </c>
      <c r="D39" s="38">
        <f>SUM(D36:D38)</f>
        <v>1861.1302500000002</v>
      </c>
      <c r="E39" s="38">
        <f t="shared" ref="E39:G39" si="4">SUM(E36:E37)</f>
        <v>0</v>
      </c>
      <c r="F39" s="74">
        <f t="shared" si="4"/>
        <v>0</v>
      </c>
      <c r="G39" s="74">
        <f t="shared" si="4"/>
        <v>0</v>
      </c>
      <c r="H39" s="38">
        <f>SUM(H36:H38)</f>
        <v>38973.656925000003</v>
      </c>
    </row>
    <row r="40" spans="1:8" ht="15" customHeight="1">
      <c r="B40" s="57"/>
      <c r="C40" s="57"/>
      <c r="D40" s="57"/>
      <c r="E40" s="57"/>
      <c r="F40" s="56"/>
      <c r="G40" s="84"/>
      <c r="H40" s="57"/>
    </row>
    <row r="41" spans="1:8" ht="15" customHeight="1">
      <c r="B41" s="57"/>
      <c r="C41" s="57"/>
      <c r="D41" s="57"/>
      <c r="E41" s="57"/>
      <c r="F41" s="56"/>
      <c r="G41" s="84"/>
      <c r="H41" s="57"/>
    </row>
    <row r="42" spans="1:8" ht="15" customHeight="1">
      <c r="B42" s="59"/>
      <c r="C42" s="59"/>
      <c r="D42" s="59"/>
      <c r="E42" s="59"/>
      <c r="F42" s="58"/>
      <c r="G42" s="84"/>
      <c r="H42" s="59"/>
    </row>
    <row r="43" spans="1:8" ht="15" customHeight="1">
      <c r="A43" s="46"/>
      <c r="B43" s="46" t="s">
        <v>36</v>
      </c>
      <c r="C43" s="46"/>
      <c r="D43" s="46"/>
      <c r="E43" s="46"/>
      <c r="F43" s="60"/>
      <c r="G43" s="85"/>
      <c r="H43" s="46"/>
    </row>
    <row r="44" spans="1:8" ht="29.25" customHeight="1">
      <c r="A44" s="46" t="s">
        <v>3</v>
      </c>
      <c r="B44" s="46" t="s">
        <v>4</v>
      </c>
      <c r="C44" s="46" t="s">
        <v>5</v>
      </c>
      <c r="D44" s="46" t="s">
        <v>6</v>
      </c>
      <c r="E44" s="46" t="s">
        <v>7</v>
      </c>
      <c r="F44" s="71" t="s">
        <v>8</v>
      </c>
      <c r="G44" s="17" t="str">
        <f>G35</f>
        <v>COMPENSACIONES</v>
      </c>
      <c r="H44" s="46" t="s">
        <v>10</v>
      </c>
    </row>
    <row r="45" spans="1:8" ht="51" customHeight="1">
      <c r="A45" s="61" t="s">
        <v>37</v>
      </c>
      <c r="B45" s="41" t="s">
        <v>38</v>
      </c>
      <c r="C45" s="49">
        <f>18997*1.03*1.05*1.05</f>
        <v>21572.518274999999</v>
      </c>
      <c r="D45" s="49">
        <f>997*1.03*1.05*1.05</f>
        <v>1132.1682750000002</v>
      </c>
      <c r="E45" s="49"/>
      <c r="F45" s="77"/>
      <c r="G45" s="86"/>
      <c r="H45" s="49">
        <f>C45-D45+E45+G45</f>
        <v>20440.349999999999</v>
      </c>
    </row>
    <row r="46" spans="1:8" ht="15.75">
      <c r="A46" s="46"/>
      <c r="B46" s="46" t="s">
        <v>39</v>
      </c>
      <c r="C46" s="46"/>
      <c r="D46" s="46"/>
      <c r="E46" s="46"/>
      <c r="F46" s="60"/>
      <c r="G46" s="85"/>
      <c r="H46" s="46"/>
    </row>
    <row r="47" spans="1:8" ht="31.5" customHeight="1">
      <c r="A47" s="46" t="s">
        <v>3</v>
      </c>
      <c r="B47" s="46" t="s">
        <v>4</v>
      </c>
      <c r="C47" s="46" t="s">
        <v>5</v>
      </c>
      <c r="D47" s="46" t="s">
        <v>6</v>
      </c>
      <c r="E47" s="46" t="s">
        <v>7</v>
      </c>
      <c r="F47" s="71" t="s">
        <v>8</v>
      </c>
      <c r="G47" s="17" t="s">
        <v>9</v>
      </c>
      <c r="H47" s="46" t="s">
        <v>10</v>
      </c>
    </row>
    <row r="48" spans="1:8" ht="51" customHeight="1">
      <c r="A48" s="25" t="s">
        <v>40</v>
      </c>
      <c r="B48" s="25" t="s">
        <v>41</v>
      </c>
      <c r="C48" s="18">
        <f>6928*1.04*1.05*1.05</f>
        <v>7943.6448000000009</v>
      </c>
      <c r="D48" s="18">
        <f>220*1.04*1.05*1.05</f>
        <v>252.25200000000001</v>
      </c>
      <c r="E48" s="37"/>
      <c r="G48" s="73"/>
      <c r="H48" s="72">
        <f>C48-D48+E48+G48</f>
        <v>7691.3928000000005</v>
      </c>
    </row>
    <row r="49" spans="1:8" ht="51" customHeight="1">
      <c r="A49" s="25" t="s">
        <v>42</v>
      </c>
      <c r="B49" s="25" t="s">
        <v>43</v>
      </c>
      <c r="C49" s="62">
        <f>5241*1.04*1.05*1.05</f>
        <v>6009.3306000000011</v>
      </c>
      <c r="D49" s="18"/>
      <c r="E49" s="72">
        <v>90</v>
      </c>
      <c r="F49" s="28"/>
      <c r="G49" s="73"/>
      <c r="H49" s="72">
        <f t="shared" ref="H49:H51" si="5">C49-D49+E49+G49</f>
        <v>6099.3306000000011</v>
      </c>
    </row>
    <row r="50" spans="1:8" ht="51" customHeight="1">
      <c r="A50" s="5" t="s">
        <v>44</v>
      </c>
      <c r="B50" s="6" t="s">
        <v>45</v>
      </c>
      <c r="C50" s="62">
        <f>6928*1.04*1.05*1.05</f>
        <v>7943.6448000000009</v>
      </c>
      <c r="D50" s="87">
        <f>220*1.04*1.05*1.05</f>
        <v>252.25200000000001</v>
      </c>
      <c r="E50" s="37"/>
      <c r="F50" s="29"/>
      <c r="G50" s="73"/>
      <c r="H50" s="72">
        <f t="shared" si="5"/>
        <v>7691.3928000000005</v>
      </c>
    </row>
    <row r="51" spans="1:8" ht="51" customHeight="1">
      <c r="A51" s="25" t="s">
        <v>46</v>
      </c>
      <c r="B51" s="25" t="s">
        <v>47</v>
      </c>
      <c r="C51" s="63">
        <f>5964*1.04*1.05*1.05</f>
        <v>6838.3224000000009</v>
      </c>
      <c r="D51" s="88">
        <f>157*1.04*1.05*1.05</f>
        <v>180.01620000000003</v>
      </c>
      <c r="E51" s="72"/>
      <c r="F51" s="28"/>
      <c r="G51" s="73"/>
      <c r="H51" s="72">
        <f t="shared" si="5"/>
        <v>6658.3062000000009</v>
      </c>
    </row>
    <row r="52" spans="1:8" ht="25.5" customHeight="1">
      <c r="A52" s="51"/>
      <c r="B52" s="64" t="s">
        <v>48</v>
      </c>
      <c r="C52" s="38">
        <f t="shared" ref="C52:H52" si="6">SUM(C48:C51)</f>
        <v>28734.942600000006</v>
      </c>
      <c r="D52" s="38">
        <f t="shared" si="6"/>
        <v>684.52020000000005</v>
      </c>
      <c r="E52" s="38">
        <f t="shared" si="6"/>
        <v>90</v>
      </c>
      <c r="F52" s="74">
        <f t="shared" si="6"/>
        <v>0</v>
      </c>
      <c r="G52" s="74">
        <f t="shared" si="6"/>
        <v>0</v>
      </c>
      <c r="H52" s="38">
        <f t="shared" si="6"/>
        <v>28140.422400000003</v>
      </c>
    </row>
    <row r="53" spans="1:8" ht="15.75" customHeight="1">
      <c r="A53" s="256"/>
      <c r="B53" s="256"/>
      <c r="C53" s="256"/>
      <c r="D53" s="256"/>
      <c r="E53" s="256"/>
      <c r="F53" s="257"/>
      <c r="G53" s="257"/>
      <c r="H53" s="256"/>
    </row>
    <row r="54" spans="1:8" ht="24.75" customHeight="1">
      <c r="A54" s="46" t="s">
        <v>3</v>
      </c>
      <c r="B54" s="46" t="s">
        <v>4</v>
      </c>
      <c r="C54" s="46" t="s">
        <v>5</v>
      </c>
      <c r="D54" s="46" t="s">
        <v>6</v>
      </c>
      <c r="E54" s="46" t="s">
        <v>7</v>
      </c>
      <c r="F54" s="71" t="s">
        <v>8</v>
      </c>
      <c r="G54" s="17" t="str">
        <f>G44</f>
        <v>COMPENSACIONES</v>
      </c>
      <c r="H54" s="46" t="s">
        <v>10</v>
      </c>
    </row>
    <row r="55" spans="1:8" ht="51" customHeight="1">
      <c r="A55" s="25" t="s">
        <v>49</v>
      </c>
      <c r="B55" s="25" t="s">
        <v>50</v>
      </c>
      <c r="C55" s="65">
        <f>6215*1.04*1.05*1.05</f>
        <v>7126.1190000000006</v>
      </c>
      <c r="D55" s="37"/>
      <c r="E55" s="37">
        <v>90</v>
      </c>
      <c r="F55" s="29"/>
      <c r="G55" s="73"/>
      <c r="H55" s="72">
        <f>C55-D55+E55+G55</f>
        <v>7216.1190000000006</v>
      </c>
    </row>
    <row r="56" spans="1:8" ht="25.5" customHeight="1">
      <c r="A56" s="44"/>
      <c r="B56" s="64" t="s">
        <v>48</v>
      </c>
      <c r="C56" s="66">
        <f>SUM(C55)</f>
        <v>7126.1190000000006</v>
      </c>
      <c r="D56" s="66">
        <f t="shared" ref="D56:H56" si="7">SUM(D55)</f>
        <v>0</v>
      </c>
      <c r="E56" s="66">
        <f t="shared" si="7"/>
        <v>90</v>
      </c>
      <c r="F56" s="89">
        <f t="shared" si="7"/>
        <v>0</v>
      </c>
      <c r="G56" s="89">
        <f t="shared" si="7"/>
        <v>0</v>
      </c>
      <c r="H56" s="66">
        <f t="shared" si="7"/>
        <v>7216.1190000000006</v>
      </c>
    </row>
    <row r="57" spans="1:8" ht="25.5" customHeight="1">
      <c r="A57" s="44"/>
      <c r="B57" s="11" t="s">
        <v>23</v>
      </c>
      <c r="C57" s="67">
        <f>SUM(C52+C56)+C45</f>
        <v>57433.57987500001</v>
      </c>
      <c r="D57" s="90">
        <f>SUM(D52+D56)+D45</f>
        <v>1816.6884750000004</v>
      </c>
      <c r="E57" s="90">
        <f>SUM(E52+E56)</f>
        <v>180</v>
      </c>
      <c r="F57" s="91">
        <f>SUM(F52+F56)</f>
        <v>0</v>
      </c>
      <c r="G57" s="91">
        <f>SUM(G52+G56)</f>
        <v>0</v>
      </c>
      <c r="H57" s="90">
        <f>SUM(H52+H56)+H45</f>
        <v>55796.8914</v>
      </c>
    </row>
    <row r="58" spans="1:8" ht="15" customHeight="1">
      <c r="A58" s="243"/>
      <c r="B58" s="243"/>
      <c r="C58" s="243"/>
      <c r="D58" s="243"/>
      <c r="E58" s="243"/>
      <c r="F58" s="244"/>
      <c r="G58" s="244"/>
      <c r="H58" s="243"/>
    </row>
    <row r="59" spans="1:8" ht="15" customHeight="1">
      <c r="A59" s="243"/>
      <c r="B59" s="243"/>
      <c r="C59" s="243"/>
      <c r="D59" s="243"/>
      <c r="E59" s="243"/>
      <c r="F59" s="244"/>
      <c r="G59" s="244"/>
      <c r="H59" s="243"/>
    </row>
    <row r="60" spans="1:8" ht="15" customHeight="1">
      <c r="A60" s="243"/>
      <c r="B60" s="243"/>
      <c r="C60" s="243"/>
      <c r="D60" s="243"/>
      <c r="E60" s="243"/>
      <c r="F60" s="244"/>
      <c r="G60" s="244"/>
      <c r="H60" s="243"/>
    </row>
    <row r="61" spans="1:8" ht="15" customHeight="1">
      <c r="A61" s="245"/>
      <c r="B61" s="245"/>
      <c r="C61" s="245"/>
      <c r="D61" s="245"/>
      <c r="E61" s="245"/>
      <c r="F61" s="246"/>
      <c r="G61" s="246"/>
      <c r="H61" s="245"/>
    </row>
    <row r="62" spans="1:8" ht="24.75" customHeight="1">
      <c r="A62" s="46" t="s">
        <v>3</v>
      </c>
      <c r="B62" s="46" t="s">
        <v>4</v>
      </c>
      <c r="C62" s="46" t="s">
        <v>5</v>
      </c>
      <c r="D62" s="46" t="s">
        <v>6</v>
      </c>
      <c r="E62" s="46" t="s">
        <v>7</v>
      </c>
      <c r="F62" s="71" t="s">
        <v>8</v>
      </c>
      <c r="G62" s="17" t="str">
        <f>G54</f>
        <v>COMPENSACIONES</v>
      </c>
      <c r="H62" s="46" t="s">
        <v>10</v>
      </c>
    </row>
    <row r="63" spans="1:8" ht="51" customHeight="1">
      <c r="A63" s="42" t="s">
        <v>51</v>
      </c>
      <c r="B63" s="42" t="s">
        <v>52</v>
      </c>
      <c r="C63" s="49">
        <f>14359.23*1.05</f>
        <v>15077.191500000001</v>
      </c>
      <c r="D63" s="49">
        <f>454.23*1.05</f>
        <v>476.94150000000002</v>
      </c>
      <c r="E63" s="49"/>
      <c r="F63" s="77"/>
      <c r="G63" s="77"/>
      <c r="H63" s="49">
        <f>C63-D63+G63</f>
        <v>14600.25</v>
      </c>
    </row>
    <row r="64" spans="1:8" ht="24.75" customHeight="1">
      <c r="A64" s="68"/>
      <c r="B64" s="69" t="s">
        <v>23</v>
      </c>
      <c r="C64" s="70">
        <f>SUM(C63)</f>
        <v>15077.191500000001</v>
      </c>
      <c r="D64" s="70">
        <f t="shared" ref="D64:H64" si="8">SUM(D63)</f>
        <v>476.94150000000002</v>
      </c>
      <c r="E64" s="70">
        <f t="shared" si="8"/>
        <v>0</v>
      </c>
      <c r="F64" s="92">
        <f t="shared" si="8"/>
        <v>0</v>
      </c>
      <c r="G64" s="92">
        <f t="shared" si="8"/>
        <v>0</v>
      </c>
      <c r="H64" s="70">
        <f t="shared" si="8"/>
        <v>14600.25</v>
      </c>
    </row>
    <row r="65" spans="1:19" ht="24" customHeight="1">
      <c r="A65" s="243"/>
      <c r="B65" s="243"/>
      <c r="C65" s="243"/>
      <c r="D65" s="243"/>
      <c r="E65" s="243"/>
      <c r="F65" s="244"/>
      <c r="G65" s="244"/>
      <c r="H65" s="243"/>
    </row>
    <row r="66" spans="1:19" ht="16.5" customHeight="1">
      <c r="A66" s="243"/>
      <c r="B66" s="243"/>
      <c r="C66" s="243"/>
      <c r="D66" s="243"/>
      <c r="E66" s="243"/>
      <c r="F66" s="244"/>
      <c r="G66" s="244"/>
      <c r="H66" s="243"/>
    </row>
    <row r="67" spans="1:19" ht="15.75" customHeight="1">
      <c r="A67" s="243"/>
      <c r="B67" s="243"/>
      <c r="C67" s="243"/>
      <c r="D67" s="243"/>
      <c r="E67" s="243"/>
      <c r="F67" s="244"/>
      <c r="G67" s="244"/>
      <c r="H67" s="243"/>
    </row>
    <row r="68" spans="1:19" ht="15.75" customHeight="1">
      <c r="A68" s="245"/>
      <c r="B68" s="245"/>
      <c r="C68" s="245"/>
      <c r="D68" s="245"/>
      <c r="E68" s="245"/>
      <c r="F68" s="246"/>
      <c r="G68" s="246"/>
      <c r="H68" s="245"/>
    </row>
    <row r="69" spans="1:19" ht="45.75" customHeight="1">
      <c r="A69" s="68"/>
      <c r="B69" s="93" t="s">
        <v>53</v>
      </c>
      <c r="C69" s="37"/>
      <c r="D69" s="37"/>
      <c r="E69" s="37"/>
      <c r="F69" s="29"/>
      <c r="G69" s="109"/>
      <c r="H69" s="37"/>
    </row>
    <row r="70" spans="1:19" ht="33.75" customHeight="1">
      <c r="B70" s="94" t="s">
        <v>54</v>
      </c>
    </row>
    <row r="71" spans="1:19" ht="25.5" customHeight="1">
      <c r="A71" s="68"/>
      <c r="B71" s="95" t="s">
        <v>23</v>
      </c>
      <c r="C71" s="96">
        <f>SUM(C69:C70)</f>
        <v>0</v>
      </c>
      <c r="D71" s="96">
        <f t="shared" ref="D71:H71" si="9">SUM(D69:D70)</f>
        <v>0</v>
      </c>
      <c r="E71" s="96">
        <f t="shared" si="9"/>
        <v>0</v>
      </c>
      <c r="F71" s="110">
        <f t="shared" si="9"/>
        <v>0</v>
      </c>
      <c r="G71" s="111">
        <f t="shared" si="9"/>
        <v>0</v>
      </c>
      <c r="H71" s="96">
        <f t="shared" si="9"/>
        <v>0</v>
      </c>
    </row>
    <row r="72" spans="1:19" ht="15" customHeight="1">
      <c r="A72" s="241"/>
      <c r="B72" s="241"/>
      <c r="C72" s="241"/>
      <c r="D72" s="241"/>
      <c r="E72" s="241"/>
      <c r="F72" s="242"/>
      <c r="G72" s="242"/>
      <c r="H72" s="241"/>
    </row>
    <row r="73" spans="1:19" ht="15" customHeight="1">
      <c r="A73" s="241"/>
      <c r="B73" s="241"/>
      <c r="C73" s="241"/>
      <c r="D73" s="241"/>
      <c r="E73" s="241"/>
      <c r="F73" s="242"/>
      <c r="G73" s="242"/>
      <c r="H73" s="241"/>
    </row>
    <row r="74" spans="1:19" ht="15" customHeight="1">
      <c r="A74" s="250"/>
      <c r="B74" s="250"/>
      <c r="C74" s="250"/>
      <c r="D74" s="250"/>
      <c r="E74" s="250"/>
      <c r="F74" s="251"/>
      <c r="G74" s="251"/>
      <c r="H74" s="250"/>
      <c r="I74" s="245"/>
      <c r="J74" s="245"/>
      <c r="K74" s="245"/>
      <c r="L74" s="245"/>
      <c r="M74" s="245"/>
      <c r="N74" s="245"/>
      <c r="O74" s="245"/>
      <c r="P74" s="245"/>
      <c r="Q74" s="245"/>
      <c r="R74" s="245"/>
      <c r="S74" s="245"/>
    </row>
    <row r="75" spans="1:19" ht="15" customHeight="1">
      <c r="A75" s="245"/>
      <c r="B75" s="245"/>
      <c r="C75" s="245"/>
      <c r="D75" s="245"/>
      <c r="E75" s="245"/>
      <c r="F75" s="246"/>
      <c r="G75" s="246"/>
      <c r="H75" s="245"/>
    </row>
    <row r="76" spans="1:19" ht="24.75" customHeight="1">
      <c r="A76" s="40" t="str">
        <f>A5</f>
        <v>NOMBRE</v>
      </c>
      <c r="B76" s="39" t="str">
        <f>B5</f>
        <v>PUESTO</v>
      </c>
      <c r="C76" s="39" t="str">
        <f>C5</f>
        <v>SUELDO</v>
      </c>
      <c r="D76" s="39" t="str">
        <f>D5</f>
        <v>RETENCION</v>
      </c>
      <c r="E76" s="39" t="str">
        <f>E5</f>
        <v>S.E.</v>
      </c>
      <c r="F76" s="71" t="s">
        <v>8</v>
      </c>
      <c r="G76" s="17" t="str">
        <f>G62</f>
        <v>COMPENSACIONES</v>
      </c>
      <c r="H76" s="39" t="str">
        <f>H5</f>
        <v>SUELDO NETO</v>
      </c>
    </row>
    <row r="77" spans="1:19" ht="50.25" customHeight="1">
      <c r="A77" s="97" t="s">
        <v>55</v>
      </c>
      <c r="B77" s="97" t="s">
        <v>56</v>
      </c>
      <c r="C77" s="98">
        <f>7020*1.04*1.05*1.05</f>
        <v>8049.1320000000005</v>
      </c>
      <c r="D77" s="98">
        <f>220*1.04*1.05*1.05</f>
        <v>252.25200000000001</v>
      </c>
      <c r="E77" s="53"/>
      <c r="F77" s="79"/>
      <c r="G77" s="79"/>
      <c r="H77" s="53">
        <f>C77-D77+E77+G77</f>
        <v>7796.88</v>
      </c>
    </row>
    <row r="78" spans="1:19" ht="50.25" customHeight="1">
      <c r="A78" s="6" t="s">
        <v>57</v>
      </c>
      <c r="B78" s="6" t="s">
        <v>58</v>
      </c>
      <c r="C78" s="99">
        <f>3855*1.04*1.05*1.05</f>
        <v>4420.1430000000009</v>
      </c>
      <c r="D78" s="99"/>
      <c r="E78" s="37">
        <v>90</v>
      </c>
      <c r="F78" s="29"/>
      <c r="G78" s="112"/>
      <c r="H78" s="37">
        <f>C78-D78+E78+G78</f>
        <v>4510.1430000000009</v>
      </c>
    </row>
    <row r="79" spans="1:19" ht="25.5" customHeight="1">
      <c r="A79" s="100"/>
      <c r="B79" s="11" t="s">
        <v>23</v>
      </c>
      <c r="C79" s="38">
        <f t="shared" ref="C79:H79" si="10">SUM(C77:C78)</f>
        <v>12469.275000000001</v>
      </c>
      <c r="D79" s="38">
        <f t="shared" si="10"/>
        <v>252.25200000000001</v>
      </c>
      <c r="E79" s="38">
        <f t="shared" si="10"/>
        <v>90</v>
      </c>
      <c r="F79" s="74">
        <f t="shared" si="10"/>
        <v>0</v>
      </c>
      <c r="G79" s="74">
        <f t="shared" si="10"/>
        <v>0</v>
      </c>
      <c r="H79" s="38">
        <f t="shared" si="10"/>
        <v>12307.023000000001</v>
      </c>
    </row>
    <row r="80" spans="1:19" ht="15" customHeight="1">
      <c r="A80" s="243"/>
      <c r="B80" s="243"/>
      <c r="C80" s="243"/>
      <c r="D80" s="243"/>
      <c r="E80" s="243"/>
      <c r="F80" s="244"/>
      <c r="G80" s="244"/>
      <c r="H80" s="243"/>
    </row>
    <row r="81" spans="1:8" ht="15" customHeight="1">
      <c r="A81" s="243"/>
      <c r="B81" s="243"/>
      <c r="C81" s="243"/>
      <c r="D81" s="243"/>
      <c r="E81" s="243"/>
      <c r="F81" s="244"/>
      <c r="G81" s="244"/>
      <c r="H81" s="243"/>
    </row>
    <row r="82" spans="1:8" ht="15" customHeight="1">
      <c r="A82" s="254"/>
      <c r="B82" s="254"/>
      <c r="C82" s="254"/>
      <c r="D82" s="254"/>
      <c r="E82" s="254"/>
      <c r="F82" s="255"/>
      <c r="G82" s="255"/>
      <c r="H82" s="254"/>
    </row>
    <row r="83" spans="1:8" ht="15" customHeight="1">
      <c r="A83" s="245"/>
      <c r="B83" s="245"/>
      <c r="C83" s="245"/>
      <c r="D83" s="245"/>
      <c r="E83" s="245"/>
      <c r="F83" s="246"/>
      <c r="G83" s="246"/>
      <c r="H83" s="245"/>
    </row>
    <row r="84" spans="1:8" ht="24.75" customHeight="1">
      <c r="A84" s="46" t="s">
        <v>3</v>
      </c>
      <c r="B84" s="46" t="s">
        <v>4</v>
      </c>
      <c r="C84" s="46" t="s">
        <v>5</v>
      </c>
      <c r="D84" s="46" t="s">
        <v>6</v>
      </c>
      <c r="E84" s="46" t="s">
        <v>7</v>
      </c>
      <c r="F84" s="71" t="s">
        <v>8</v>
      </c>
      <c r="G84" s="17" t="str">
        <f>G76</f>
        <v>COMPENSACIONES</v>
      </c>
      <c r="H84" s="46" t="s">
        <v>10</v>
      </c>
    </row>
    <row r="85" spans="1:8" ht="39.75" customHeight="1">
      <c r="A85" s="42" t="s">
        <v>59</v>
      </c>
      <c r="B85" s="41" t="s">
        <v>60</v>
      </c>
      <c r="C85" s="53">
        <f>10038*1.04*1.05*1.05</f>
        <v>11509.570800000001</v>
      </c>
      <c r="D85" s="53">
        <f>441*1.04*1.05*1.05</f>
        <v>505.65060000000011</v>
      </c>
      <c r="E85" s="53"/>
      <c r="F85" s="79"/>
      <c r="G85" s="79"/>
      <c r="H85" s="53">
        <f>C85-D85+G85</f>
        <v>11003.9202</v>
      </c>
    </row>
    <row r="86" spans="1:8" ht="25.5" customHeight="1">
      <c r="A86" s="44"/>
      <c r="B86" s="11" t="s">
        <v>23</v>
      </c>
      <c r="C86" s="38">
        <f t="shared" ref="C86:H86" si="11">SUM(C85:C85)</f>
        <v>11509.570800000001</v>
      </c>
      <c r="D86" s="38">
        <f t="shared" si="11"/>
        <v>505.65060000000011</v>
      </c>
      <c r="E86" s="38">
        <f t="shared" si="11"/>
        <v>0</v>
      </c>
      <c r="F86" s="74">
        <f t="shared" si="11"/>
        <v>0</v>
      </c>
      <c r="G86" s="74">
        <f t="shared" si="11"/>
        <v>0</v>
      </c>
      <c r="H86" s="38">
        <f t="shared" si="11"/>
        <v>11003.9202</v>
      </c>
    </row>
    <row r="87" spans="1:8" ht="15" customHeight="1">
      <c r="A87" s="243"/>
      <c r="B87" s="243"/>
      <c r="C87" s="243"/>
      <c r="D87" s="243"/>
      <c r="E87" s="243"/>
      <c r="F87" s="244"/>
      <c r="G87" s="244"/>
      <c r="H87" s="243"/>
    </row>
    <row r="88" spans="1:8" ht="15" customHeight="1">
      <c r="A88" s="243"/>
      <c r="B88" s="243"/>
      <c r="C88" s="243"/>
      <c r="D88" s="243"/>
      <c r="E88" s="243"/>
      <c r="F88" s="244"/>
      <c r="G88" s="244"/>
      <c r="H88" s="243"/>
    </row>
    <row r="89" spans="1:8" ht="15" customHeight="1">
      <c r="A89" s="254"/>
      <c r="B89" s="254"/>
      <c r="C89" s="254"/>
      <c r="D89" s="254"/>
      <c r="E89" s="254"/>
      <c r="F89" s="255"/>
      <c r="G89" s="255"/>
      <c r="H89" s="254"/>
    </row>
    <row r="90" spans="1:8" ht="15" customHeight="1">
      <c r="A90" s="245"/>
      <c r="B90" s="245"/>
      <c r="C90" s="245"/>
      <c r="D90" s="245"/>
      <c r="E90" s="245"/>
      <c r="F90" s="246"/>
      <c r="G90" s="246"/>
      <c r="H90" s="245"/>
    </row>
    <row r="91" spans="1:8" ht="24.75" customHeight="1">
      <c r="A91" s="46" t="s">
        <v>3</v>
      </c>
      <c r="B91" s="46" t="s">
        <v>4</v>
      </c>
      <c r="C91" s="46" t="s">
        <v>5</v>
      </c>
      <c r="D91" s="46" t="s">
        <v>6</v>
      </c>
      <c r="E91" s="46" t="s">
        <v>7</v>
      </c>
      <c r="F91" s="71" t="s">
        <v>8</v>
      </c>
      <c r="G91" s="17" t="str">
        <f>G84</f>
        <v>COMPENSACIONES</v>
      </c>
      <c r="H91" s="46" t="s">
        <v>10</v>
      </c>
    </row>
    <row r="92" spans="1:8" ht="51" customHeight="1">
      <c r="A92" s="42" t="s">
        <v>61</v>
      </c>
      <c r="B92" s="42" t="s">
        <v>62</v>
      </c>
      <c r="C92" s="53">
        <f>10038*1.04*1.05*1.05</f>
        <v>11509.570800000001</v>
      </c>
      <c r="D92" s="53">
        <f>441*1.04*1.05*1.05</f>
        <v>505.65060000000011</v>
      </c>
      <c r="E92" s="53"/>
      <c r="F92" s="79"/>
      <c r="G92" s="79"/>
      <c r="H92" s="53">
        <f>C92-D92+E92+G92</f>
        <v>11003.9202</v>
      </c>
    </row>
    <row r="93" spans="1:8" ht="51" customHeight="1">
      <c r="A93" s="25" t="s">
        <v>63</v>
      </c>
      <c r="B93" s="25" t="s">
        <v>58</v>
      </c>
      <c r="C93" s="18">
        <f>6405*1.04*1.05*1.05</f>
        <v>7343.9730000000009</v>
      </c>
      <c r="D93" s="18">
        <f>175*1.04*1.05*1.05</f>
        <v>200.655</v>
      </c>
      <c r="E93" s="72"/>
      <c r="F93" s="28"/>
      <c r="G93" s="73"/>
      <c r="H93" s="37">
        <f t="shared" ref="H93:H98" si="12">C93-D93+E93+F93+G93</f>
        <v>7143.3180000000011</v>
      </c>
    </row>
    <row r="94" spans="1:8" ht="51" customHeight="1">
      <c r="A94" s="6" t="s">
        <v>64</v>
      </c>
      <c r="B94" s="7" t="s">
        <v>29</v>
      </c>
      <c r="C94" s="62">
        <f>4740*1.04*1.05*1.05</f>
        <v>5434.8840000000009</v>
      </c>
      <c r="D94" s="87"/>
      <c r="E94" s="37">
        <v>90</v>
      </c>
      <c r="F94" s="29"/>
      <c r="G94" s="73"/>
      <c r="H94" s="37">
        <f t="shared" si="12"/>
        <v>5524.8840000000009</v>
      </c>
    </row>
    <row r="95" spans="1:8" ht="51" customHeight="1">
      <c r="A95" s="25" t="s">
        <v>65</v>
      </c>
      <c r="B95" s="25" t="s">
        <v>58</v>
      </c>
      <c r="C95" s="18">
        <f>4790*1.04*1.05*1.05</f>
        <v>5492.2140000000009</v>
      </c>
      <c r="D95" s="18"/>
      <c r="E95" s="72">
        <v>90</v>
      </c>
      <c r="F95" s="28"/>
      <c r="G95" s="73"/>
      <c r="H95" s="37">
        <f t="shared" si="12"/>
        <v>5582.2140000000009</v>
      </c>
    </row>
    <row r="96" spans="1:8" ht="51" customHeight="1">
      <c r="A96" s="25" t="s">
        <v>66</v>
      </c>
      <c r="B96" s="25" t="s">
        <v>58</v>
      </c>
      <c r="C96" s="18">
        <f>4552*1.04*1.05*1.05</f>
        <v>5219.3232000000007</v>
      </c>
      <c r="D96" s="18"/>
      <c r="E96" s="37">
        <v>90</v>
      </c>
      <c r="F96" s="29"/>
      <c r="G96" s="73"/>
      <c r="H96" s="37">
        <f t="shared" si="12"/>
        <v>5309.3232000000007</v>
      </c>
    </row>
    <row r="97" spans="1:8" ht="51" customHeight="1">
      <c r="A97" s="25" t="s">
        <v>67</v>
      </c>
      <c r="B97" s="25" t="s">
        <v>58</v>
      </c>
      <c r="C97" s="18">
        <f>4618*1.04*1.05*1.05</f>
        <v>5294.9988000000012</v>
      </c>
      <c r="D97" s="18"/>
      <c r="E97" s="37">
        <v>90</v>
      </c>
      <c r="F97" s="29"/>
      <c r="G97" s="73"/>
      <c r="H97" s="37">
        <f>C97-D97+E97+G97</f>
        <v>5384.9988000000012</v>
      </c>
    </row>
    <row r="98" spans="1:8" ht="51" customHeight="1">
      <c r="A98" s="25" t="s">
        <v>68</v>
      </c>
      <c r="B98" s="25" t="s">
        <v>69</v>
      </c>
      <c r="C98" s="83">
        <f>6928*1.04*1.05*1.05</f>
        <v>7943.6448000000009</v>
      </c>
      <c r="D98" s="83">
        <f>220*1.04*1.05*1.05</f>
        <v>252.25200000000001</v>
      </c>
      <c r="E98" s="113"/>
      <c r="F98" s="114"/>
      <c r="G98" s="73"/>
      <c r="H98" s="113">
        <f t="shared" si="12"/>
        <v>7691.3928000000005</v>
      </c>
    </row>
    <row r="99" spans="1:8" ht="25.5" customHeight="1">
      <c r="A99" s="44"/>
      <c r="B99" s="11" t="s">
        <v>23</v>
      </c>
      <c r="C99" s="45">
        <f t="shared" ref="C99:H99" si="13">SUM(C92:C98)</f>
        <v>48238.608600000007</v>
      </c>
      <c r="D99" s="45">
        <f t="shared" si="13"/>
        <v>958.55760000000009</v>
      </c>
      <c r="E99" s="45">
        <f t="shared" si="13"/>
        <v>360</v>
      </c>
      <c r="F99" s="76">
        <f t="shared" si="13"/>
        <v>0</v>
      </c>
      <c r="G99" s="76">
        <f t="shared" si="13"/>
        <v>0</v>
      </c>
      <c r="H99" s="45">
        <f t="shared" si="13"/>
        <v>47640.051000000007</v>
      </c>
    </row>
    <row r="100" spans="1:8" ht="15" customHeight="1">
      <c r="A100" s="243"/>
      <c r="B100" s="243"/>
      <c r="C100" s="243"/>
      <c r="D100" s="243"/>
      <c r="E100" s="243"/>
      <c r="F100" s="244"/>
      <c r="G100" s="244"/>
      <c r="H100" s="243"/>
    </row>
    <row r="101" spans="1:8" ht="15" customHeight="1">
      <c r="A101" s="243"/>
      <c r="B101" s="243"/>
      <c r="C101" s="243"/>
      <c r="D101" s="243"/>
      <c r="E101" s="243"/>
      <c r="F101" s="244"/>
      <c r="G101" s="244"/>
      <c r="H101" s="243"/>
    </row>
    <row r="102" spans="1:8" ht="15" customHeight="1">
      <c r="A102" s="254"/>
      <c r="B102" s="254"/>
      <c r="C102" s="254"/>
      <c r="D102" s="254"/>
      <c r="E102" s="254"/>
      <c r="F102" s="255"/>
      <c r="G102" s="255"/>
      <c r="H102" s="254"/>
    </row>
    <row r="103" spans="1:8" ht="15" customHeight="1">
      <c r="A103" s="245"/>
      <c r="B103" s="245"/>
      <c r="C103" s="245"/>
      <c r="D103" s="245"/>
      <c r="E103" s="245"/>
      <c r="F103" s="246"/>
      <c r="G103" s="246"/>
      <c r="H103" s="245"/>
    </row>
    <row r="104" spans="1:8" ht="24.75" customHeight="1">
      <c r="A104" s="46" t="s">
        <v>3</v>
      </c>
      <c r="B104" s="46" t="s">
        <v>4</v>
      </c>
      <c r="C104" s="46" t="s">
        <v>5</v>
      </c>
      <c r="D104" s="46" t="s">
        <v>6</v>
      </c>
      <c r="E104" s="46" t="s">
        <v>7</v>
      </c>
      <c r="F104" s="71" t="s">
        <v>8</v>
      </c>
      <c r="G104" s="17" t="str">
        <f>G91</f>
        <v>COMPENSACIONES</v>
      </c>
      <c r="H104" s="46" t="s">
        <v>10</v>
      </c>
    </row>
    <row r="105" spans="1:8" ht="63" customHeight="1">
      <c r="A105" s="8" t="s">
        <v>70</v>
      </c>
      <c r="B105" s="23" t="s">
        <v>71</v>
      </c>
      <c r="C105" s="18">
        <f>5000*1.05</f>
        <v>5250</v>
      </c>
      <c r="D105" s="37"/>
      <c r="E105" s="37"/>
      <c r="F105" s="29"/>
      <c r="G105" s="73"/>
      <c r="H105" s="37">
        <f>C105-D105+E105+G105</f>
        <v>5250</v>
      </c>
    </row>
    <row r="106" spans="1:8" ht="25.5" customHeight="1">
      <c r="A106" s="44"/>
      <c r="B106" s="11" t="s">
        <v>23</v>
      </c>
      <c r="C106" s="38">
        <f t="shared" ref="C106:H106" si="14">SUM(C105:C105)</f>
        <v>5250</v>
      </c>
      <c r="D106" s="38">
        <f t="shared" si="14"/>
        <v>0</v>
      </c>
      <c r="E106" s="38">
        <f t="shared" si="14"/>
        <v>0</v>
      </c>
      <c r="F106" s="74">
        <f t="shared" si="14"/>
        <v>0</v>
      </c>
      <c r="G106" s="74">
        <f t="shared" si="14"/>
        <v>0</v>
      </c>
      <c r="H106" s="38">
        <f t="shared" si="14"/>
        <v>5250</v>
      </c>
    </row>
    <row r="107" spans="1:8" ht="15" customHeight="1">
      <c r="A107" s="243"/>
      <c r="B107" s="243"/>
      <c r="C107" s="243"/>
      <c r="D107" s="243"/>
      <c r="E107" s="243"/>
      <c r="F107" s="244"/>
      <c r="G107" s="244"/>
      <c r="H107" s="243"/>
    </row>
    <row r="108" spans="1:8" ht="15" customHeight="1">
      <c r="A108" s="243"/>
      <c r="B108" s="243"/>
      <c r="C108" s="243"/>
      <c r="D108" s="243"/>
      <c r="E108" s="243"/>
      <c r="F108" s="244"/>
      <c r="G108" s="244"/>
      <c r="H108" s="243"/>
    </row>
    <row r="109" spans="1:8" ht="15" customHeight="1">
      <c r="A109" s="254"/>
      <c r="B109" s="254"/>
      <c r="C109" s="254"/>
      <c r="D109" s="254"/>
      <c r="E109" s="254"/>
      <c r="F109" s="255"/>
      <c r="G109" s="255"/>
      <c r="H109" s="254"/>
    </row>
    <row r="110" spans="1:8" ht="15" customHeight="1">
      <c r="A110" s="245"/>
      <c r="B110" s="245"/>
      <c r="C110" s="245"/>
      <c r="D110" s="245"/>
      <c r="E110" s="245"/>
      <c r="F110" s="246"/>
      <c r="G110" s="246"/>
      <c r="H110" s="245"/>
    </row>
    <row r="111" spans="1:8" ht="24.75" customHeight="1">
      <c r="A111" s="46" t="s">
        <v>3</v>
      </c>
      <c r="B111" s="46" t="s">
        <v>4</v>
      </c>
      <c r="C111" s="46" t="s">
        <v>5</v>
      </c>
      <c r="D111" s="46" t="s">
        <v>6</v>
      </c>
      <c r="E111" s="46" t="s">
        <v>7</v>
      </c>
      <c r="F111" s="71" t="s">
        <v>8</v>
      </c>
      <c r="G111" s="17" t="str">
        <f>G104</f>
        <v>COMPENSACIONES</v>
      </c>
      <c r="H111" s="46" t="s">
        <v>10</v>
      </c>
    </row>
    <row r="112" spans="1:8" ht="9.75" customHeight="1">
      <c r="A112" s="101"/>
      <c r="B112" s="41"/>
      <c r="C112" s="53"/>
      <c r="D112" s="53"/>
      <c r="E112" s="53"/>
      <c r="F112" s="79"/>
      <c r="G112" s="85"/>
      <c r="H112" s="53"/>
    </row>
    <row r="113" spans="1:8" ht="51" customHeight="1">
      <c r="A113" s="42" t="s">
        <v>72</v>
      </c>
      <c r="B113" s="42" t="s">
        <v>60</v>
      </c>
      <c r="C113" s="53">
        <f>10038*1.04*1.05*1.05</f>
        <v>11509.570800000001</v>
      </c>
      <c r="D113" s="53">
        <f>441*1.04*1.05*1.05</f>
        <v>505.65060000000011</v>
      </c>
      <c r="E113" s="53"/>
      <c r="F113" s="79"/>
      <c r="G113" s="79"/>
      <c r="H113" s="53">
        <f>C113-D113+E113+G113</f>
        <v>11003.9202</v>
      </c>
    </row>
    <row r="114" spans="1:8" ht="45" customHeight="1">
      <c r="A114" s="24" t="s">
        <v>73</v>
      </c>
      <c r="B114" s="26" t="s">
        <v>74</v>
      </c>
      <c r="C114" s="18">
        <f>3800*1.05*1.05</f>
        <v>4189.5</v>
      </c>
      <c r="D114" s="1"/>
      <c r="E114" s="72"/>
      <c r="F114" s="28"/>
      <c r="G114" s="73"/>
      <c r="H114" s="72">
        <f>C114-D114+E114+G114</f>
        <v>4189.5</v>
      </c>
    </row>
    <row r="115" spans="1:8" ht="51" customHeight="1">
      <c r="A115" s="6" t="s">
        <v>75</v>
      </c>
      <c r="B115" s="4" t="s">
        <v>76</v>
      </c>
      <c r="C115" s="18">
        <f>4415*1.05*1.05*1.05</f>
        <v>5110.9143750000003</v>
      </c>
      <c r="D115" s="18"/>
      <c r="E115" s="37">
        <v>90</v>
      </c>
      <c r="F115" s="29"/>
      <c r="G115" s="73"/>
      <c r="H115" s="72">
        <f>C115-D115+E115+G115</f>
        <v>5200.9143750000003</v>
      </c>
    </row>
    <row r="116" spans="1:8" ht="51" customHeight="1">
      <c r="A116" s="6" t="s">
        <v>77</v>
      </c>
      <c r="B116" s="102" t="s">
        <v>78</v>
      </c>
      <c r="C116" s="18">
        <f>2000*1.05*1.05</f>
        <v>2205</v>
      </c>
      <c r="D116" s="18"/>
      <c r="E116" s="37">
        <v>167</v>
      </c>
      <c r="F116" s="29"/>
      <c r="G116" s="73"/>
      <c r="H116" s="72">
        <f>C116-D116+E116+G116</f>
        <v>2372</v>
      </c>
    </row>
    <row r="117" spans="1:8" ht="51" customHeight="1">
      <c r="A117" s="6" t="s">
        <v>79</v>
      </c>
      <c r="B117" s="7" t="s">
        <v>76</v>
      </c>
      <c r="C117" s="103">
        <f>2756*1.05*1.05*1.05</f>
        <v>3190.4145000000003</v>
      </c>
      <c r="D117" s="103"/>
      <c r="E117" s="37">
        <v>167</v>
      </c>
      <c r="F117" s="29"/>
      <c r="G117" s="73"/>
      <c r="H117" s="72">
        <f>C117-D117+E117+G117</f>
        <v>3357.4145000000003</v>
      </c>
    </row>
    <row r="118" spans="1:8" ht="25.5" customHeight="1">
      <c r="A118" s="44"/>
      <c r="B118" s="104" t="s">
        <v>23</v>
      </c>
      <c r="C118" s="105">
        <f t="shared" ref="C118:H118" si="15">SUM(C113:C117)</f>
        <v>26205.399675000001</v>
      </c>
      <c r="D118" s="105">
        <f t="shared" si="15"/>
        <v>505.65060000000011</v>
      </c>
      <c r="E118" s="105">
        <f t="shared" si="15"/>
        <v>424</v>
      </c>
      <c r="F118" s="115">
        <f t="shared" si="15"/>
        <v>0</v>
      </c>
      <c r="G118" s="115">
        <f t="shared" si="15"/>
        <v>0</v>
      </c>
      <c r="H118" s="105">
        <f t="shared" si="15"/>
        <v>26123.749075</v>
      </c>
    </row>
    <row r="119" spans="1:8" ht="15" customHeight="1">
      <c r="A119" s="243"/>
      <c r="B119" s="243"/>
      <c r="C119" s="243"/>
      <c r="D119" s="243"/>
      <c r="E119" s="243"/>
      <c r="F119" s="244"/>
      <c r="G119" s="244"/>
      <c r="H119" s="243"/>
    </row>
    <row r="120" spans="1:8" ht="15" customHeight="1">
      <c r="A120" s="243"/>
      <c r="B120" s="243"/>
      <c r="C120" s="243"/>
      <c r="D120" s="243"/>
      <c r="E120" s="243"/>
      <c r="F120" s="244"/>
      <c r="G120" s="244"/>
      <c r="H120" s="243"/>
    </row>
    <row r="121" spans="1:8" ht="15" customHeight="1">
      <c r="A121" s="254"/>
      <c r="B121" s="254"/>
      <c r="C121" s="254"/>
      <c r="D121" s="254"/>
      <c r="E121" s="254"/>
      <c r="F121" s="255"/>
      <c r="G121" s="255"/>
      <c r="H121" s="254"/>
    </row>
    <row r="122" spans="1:8" ht="15" customHeight="1">
      <c r="A122" s="245"/>
      <c r="B122" s="245"/>
      <c r="C122" s="245"/>
      <c r="D122" s="245"/>
      <c r="E122" s="245"/>
      <c r="F122" s="246"/>
      <c r="G122" s="246"/>
      <c r="H122" s="245"/>
    </row>
    <row r="123" spans="1:8" ht="24.75" customHeight="1">
      <c r="A123" s="46" t="s">
        <v>3</v>
      </c>
      <c r="B123" s="46" t="s">
        <v>4</v>
      </c>
      <c r="C123" s="46" t="s">
        <v>5</v>
      </c>
      <c r="D123" s="46" t="s">
        <v>6</v>
      </c>
      <c r="E123" s="46" t="s">
        <v>7</v>
      </c>
      <c r="F123" s="71" t="s">
        <v>8</v>
      </c>
      <c r="G123" s="17" t="str">
        <f>G111</f>
        <v>COMPENSACIONES</v>
      </c>
      <c r="H123" s="46" t="s">
        <v>10</v>
      </c>
    </row>
    <row r="124" spans="1:8" ht="51" customHeight="1">
      <c r="A124" s="106" t="s">
        <v>80</v>
      </c>
      <c r="B124" s="107" t="s">
        <v>52</v>
      </c>
      <c r="C124" s="18">
        <f>6150*1.05</f>
        <v>6457.5</v>
      </c>
      <c r="D124" s="18">
        <v>162.07</v>
      </c>
      <c r="E124" s="72"/>
      <c r="F124" s="28"/>
      <c r="G124" s="73"/>
      <c r="H124" s="72">
        <f>C124-D124+E124+G124</f>
        <v>6295.43</v>
      </c>
    </row>
    <row r="125" spans="1:8" ht="51" customHeight="1">
      <c r="A125" s="25" t="s">
        <v>81</v>
      </c>
      <c r="B125" s="25" t="s">
        <v>82</v>
      </c>
      <c r="C125" s="108">
        <f>5765*1.04*1.05*1.05</f>
        <v>6610.1490000000013</v>
      </c>
      <c r="D125" s="18">
        <f>299*1.04*1.05*1.05</f>
        <v>342.83340000000004</v>
      </c>
      <c r="E125" s="72"/>
      <c r="F125" s="28"/>
      <c r="G125" s="73"/>
      <c r="H125" s="72">
        <f>C125-D125+E125+G125</f>
        <v>6267.3156000000008</v>
      </c>
    </row>
    <row r="126" spans="1:8" ht="51" customHeight="1">
      <c r="A126" s="25" t="s">
        <v>83</v>
      </c>
      <c r="B126" s="25" t="s">
        <v>82</v>
      </c>
      <c r="C126" s="108">
        <f>4310*1.04*1.05*1.05</f>
        <v>4941.8460000000005</v>
      </c>
      <c r="D126" s="18"/>
      <c r="E126" s="72">
        <v>90</v>
      </c>
      <c r="F126" s="28"/>
      <c r="G126" s="73"/>
      <c r="H126" s="72">
        <f t="shared" ref="H126:H129" si="16">C126-D126+E126+G126</f>
        <v>5031.8460000000005</v>
      </c>
    </row>
    <row r="127" spans="1:8" ht="51" customHeight="1">
      <c r="A127" s="25" t="s">
        <v>84</v>
      </c>
      <c r="B127" s="22" t="s">
        <v>85</v>
      </c>
      <c r="C127" s="108">
        <f>4310*1.04*1.05*1.05</f>
        <v>4941.8460000000005</v>
      </c>
      <c r="D127" s="18"/>
      <c r="E127" s="72">
        <v>90</v>
      </c>
      <c r="F127" s="28"/>
      <c r="G127" s="73"/>
      <c r="H127" s="72">
        <f t="shared" si="16"/>
        <v>5031.8460000000005</v>
      </c>
    </row>
    <row r="128" spans="1:8" ht="51" customHeight="1">
      <c r="A128" s="6" t="s">
        <v>86</v>
      </c>
      <c r="B128" s="25" t="s">
        <v>87</v>
      </c>
      <c r="C128" s="18">
        <f>3465*1.05*1.05</f>
        <v>3820.1625000000004</v>
      </c>
      <c r="D128" s="18"/>
      <c r="E128" s="37">
        <v>90</v>
      </c>
      <c r="F128" s="29"/>
      <c r="G128" s="73"/>
      <c r="H128" s="72">
        <f t="shared" si="16"/>
        <v>3910.1625000000004</v>
      </c>
    </row>
    <row r="129" spans="1:8" ht="51" customHeight="1">
      <c r="A129" s="25" t="s">
        <v>88</v>
      </c>
      <c r="B129" s="25" t="s">
        <v>82</v>
      </c>
      <c r="C129" s="55">
        <f>4310*1.04*1.05*1.05</f>
        <v>4941.8460000000005</v>
      </c>
      <c r="D129" s="83"/>
      <c r="E129" s="113">
        <v>90</v>
      </c>
      <c r="F129" s="114"/>
      <c r="G129" s="110"/>
      <c r="H129" s="113">
        <f t="shared" si="16"/>
        <v>5031.8460000000005</v>
      </c>
    </row>
    <row r="130" spans="1:8" ht="25.5" customHeight="1">
      <c r="A130" s="116"/>
      <c r="B130" s="11" t="s">
        <v>23</v>
      </c>
      <c r="C130" s="117">
        <f>SUM(C124:C129)</f>
        <v>31713.349500000008</v>
      </c>
      <c r="D130" s="117">
        <f t="shared" ref="D130:H130" si="17">SUM(D124:D129)</f>
        <v>504.90340000000003</v>
      </c>
      <c r="E130" s="117">
        <f t="shared" si="17"/>
        <v>360</v>
      </c>
      <c r="F130" s="133">
        <f t="shared" si="17"/>
        <v>0</v>
      </c>
      <c r="G130" s="133">
        <f t="shared" si="17"/>
        <v>0</v>
      </c>
      <c r="H130" s="117">
        <f t="shared" si="17"/>
        <v>31568.446100000005</v>
      </c>
    </row>
    <row r="131" spans="1:8" ht="15" customHeight="1">
      <c r="A131" s="243"/>
      <c r="B131" s="243"/>
      <c r="C131" s="243"/>
      <c r="D131" s="243"/>
      <c r="E131" s="243"/>
      <c r="F131" s="244"/>
      <c r="G131" s="244"/>
      <c r="H131" s="243"/>
    </row>
    <row r="132" spans="1:8" ht="15" customHeight="1">
      <c r="A132" s="243"/>
      <c r="B132" s="243"/>
      <c r="C132" s="243"/>
      <c r="D132" s="243"/>
      <c r="E132" s="243"/>
      <c r="F132" s="244"/>
      <c r="G132" s="244"/>
      <c r="H132" s="243"/>
    </row>
    <row r="133" spans="1:8" ht="15" customHeight="1">
      <c r="A133" s="254"/>
      <c r="B133" s="254"/>
      <c r="C133" s="254"/>
      <c r="D133" s="254"/>
      <c r="E133" s="254"/>
      <c r="F133" s="255"/>
      <c r="G133" s="255"/>
      <c r="H133" s="254"/>
    </row>
    <row r="134" spans="1:8" ht="15" customHeight="1">
      <c r="A134" s="245"/>
      <c r="B134" s="245"/>
      <c r="C134" s="245"/>
      <c r="D134" s="245"/>
      <c r="E134" s="245"/>
      <c r="F134" s="246"/>
      <c r="G134" s="246"/>
      <c r="H134" s="245"/>
    </row>
    <row r="135" spans="1:8" ht="24.75" customHeight="1">
      <c r="A135" s="46" t="s">
        <v>3</v>
      </c>
      <c r="B135" s="46" t="s">
        <v>4</v>
      </c>
      <c r="C135" s="46" t="s">
        <v>5</v>
      </c>
      <c r="D135" s="46" t="s">
        <v>6</v>
      </c>
      <c r="E135" s="46" t="s">
        <v>7</v>
      </c>
      <c r="F135" s="71" t="s">
        <v>8</v>
      </c>
      <c r="G135" s="17" t="str">
        <f>G123</f>
        <v>COMPENSACIONES</v>
      </c>
      <c r="H135" s="46" t="s">
        <v>10</v>
      </c>
    </row>
    <row r="136" spans="1:8" ht="50.25" customHeight="1">
      <c r="A136" s="118" t="s">
        <v>89</v>
      </c>
      <c r="B136" s="42" t="s">
        <v>60</v>
      </c>
      <c r="C136" s="53">
        <f>10038*1.04*1.05*1.05</f>
        <v>11509.570800000001</v>
      </c>
      <c r="D136" s="53">
        <f>441*1.04*1.05*1.05</f>
        <v>505.65060000000011</v>
      </c>
      <c r="E136" s="53"/>
      <c r="F136" s="79"/>
      <c r="G136" s="79"/>
      <c r="H136" s="53">
        <f>C136-D136+E136+F136+G136</f>
        <v>11003.9202</v>
      </c>
    </row>
    <row r="137" spans="1:8" ht="50.25" customHeight="1">
      <c r="A137" s="6" t="s">
        <v>90</v>
      </c>
      <c r="B137" s="25" t="s">
        <v>91</v>
      </c>
      <c r="C137" s="18">
        <f>3969*1.04*1.05*1.05</f>
        <v>4550.8554000000004</v>
      </c>
      <c r="D137" s="18"/>
      <c r="E137" s="72">
        <v>140</v>
      </c>
      <c r="F137" s="28"/>
      <c r="G137" s="73"/>
      <c r="H137" s="72">
        <f>C137-D137+E137+F137+G137</f>
        <v>4690.8554000000004</v>
      </c>
    </row>
    <row r="138" spans="1:8" ht="51" customHeight="1">
      <c r="A138" s="25" t="s">
        <v>92</v>
      </c>
      <c r="B138" s="6" t="s">
        <v>93</v>
      </c>
      <c r="C138" s="103">
        <f>6118*1.04*1.05*1.05</f>
        <v>7014.8988000000008</v>
      </c>
      <c r="D138" s="103">
        <f>456*1.04*1.05*1.05</f>
        <v>522.84960000000012</v>
      </c>
      <c r="E138" s="37"/>
      <c r="F138" s="29"/>
      <c r="G138" s="82"/>
      <c r="H138" s="72">
        <f>C138-D138+E138+F138+G138</f>
        <v>6492.0492000000004</v>
      </c>
    </row>
    <row r="139" spans="1:8" ht="51" customHeight="1">
      <c r="A139" s="25" t="s">
        <v>94</v>
      </c>
      <c r="B139" s="6" t="s">
        <v>93</v>
      </c>
      <c r="C139" s="119">
        <f>6468*1.04*1.05*1.05</f>
        <v>7416.2088000000012</v>
      </c>
      <c r="D139" s="103">
        <f>456*1.04*1.05*1.05</f>
        <v>522.84960000000012</v>
      </c>
      <c r="E139" s="37"/>
      <c r="F139" s="29"/>
      <c r="G139" s="82"/>
      <c r="H139" s="72">
        <f t="shared" ref="H139:H142" si="18">C139-D139+E139+F139+G139</f>
        <v>6893.3592000000008</v>
      </c>
    </row>
    <row r="140" spans="1:8" ht="51" customHeight="1">
      <c r="A140" s="120" t="s">
        <v>95</v>
      </c>
      <c r="B140" s="6" t="s">
        <v>93</v>
      </c>
      <c r="C140" s="121">
        <f>6228*1.04*1.05*1.05</f>
        <v>7141.0248000000011</v>
      </c>
      <c r="D140" s="103">
        <f>456*1.04*1.05*1.05</f>
        <v>522.84960000000012</v>
      </c>
      <c r="E140" s="134"/>
      <c r="F140" s="135"/>
      <c r="G140" s="82"/>
      <c r="H140" s="72">
        <f t="shared" si="18"/>
        <v>6618.1752000000006</v>
      </c>
    </row>
    <row r="141" spans="1:8" ht="51" customHeight="1">
      <c r="A141" s="120" t="s">
        <v>96</v>
      </c>
      <c r="B141" s="122" t="s">
        <v>97</v>
      </c>
      <c r="C141" s="123">
        <f>4811.2*1.05*1.05</f>
        <v>5304.3480000000009</v>
      </c>
      <c r="D141" s="136"/>
      <c r="E141" s="134">
        <v>90</v>
      </c>
      <c r="F141" s="135"/>
      <c r="G141" s="82"/>
      <c r="H141" s="72">
        <f t="shared" si="18"/>
        <v>5394.3480000000009</v>
      </c>
    </row>
    <row r="142" spans="1:8" ht="51" customHeight="1">
      <c r="A142" s="124" t="s">
        <v>98</v>
      </c>
      <c r="B142" s="6" t="s">
        <v>93</v>
      </c>
      <c r="C142" s="103">
        <f>5997*1.04*1.05*1.05</f>
        <v>6876.1602000000003</v>
      </c>
      <c r="D142" s="103">
        <f>456*1.04*1.05*1.05</f>
        <v>522.84960000000012</v>
      </c>
      <c r="E142" s="134"/>
      <c r="F142" s="135"/>
      <c r="G142" s="82"/>
      <c r="H142" s="113">
        <f t="shared" si="18"/>
        <v>6353.3105999999998</v>
      </c>
    </row>
    <row r="143" spans="1:8" ht="25.5" customHeight="1">
      <c r="A143" s="44"/>
      <c r="B143" s="11" t="s">
        <v>23</v>
      </c>
      <c r="C143" s="45">
        <f>SUM(C136:C142)</f>
        <v>49813.066800000001</v>
      </c>
      <c r="D143" s="45">
        <f t="shared" ref="D143:H143" si="19">SUM(D136:D142)</f>
        <v>2597.0490000000004</v>
      </c>
      <c r="E143" s="45">
        <f t="shared" si="19"/>
        <v>230</v>
      </c>
      <c r="F143" s="76">
        <f t="shared" si="19"/>
        <v>0</v>
      </c>
      <c r="G143" s="76">
        <f t="shared" si="19"/>
        <v>0</v>
      </c>
      <c r="H143" s="45">
        <f t="shared" si="19"/>
        <v>47446.017799999994</v>
      </c>
    </row>
    <row r="144" spans="1:8" ht="15" customHeight="1">
      <c r="A144" s="243"/>
      <c r="B144" s="243"/>
      <c r="C144" s="243"/>
      <c r="D144" s="243"/>
      <c r="E144" s="243"/>
      <c r="F144" s="244"/>
      <c r="G144" s="244"/>
      <c r="H144" s="243"/>
    </row>
    <row r="145" spans="1:8" ht="15" customHeight="1">
      <c r="A145" s="243"/>
      <c r="B145" s="243"/>
      <c r="C145" s="243"/>
      <c r="D145" s="243"/>
      <c r="E145" s="243"/>
      <c r="F145" s="244"/>
      <c r="G145" s="244"/>
      <c r="H145" s="243"/>
    </row>
    <row r="146" spans="1:8" ht="15" customHeight="1">
      <c r="A146" s="254"/>
      <c r="B146" s="254"/>
      <c r="C146" s="254"/>
      <c r="D146" s="254"/>
      <c r="E146" s="254"/>
      <c r="F146" s="255"/>
      <c r="G146" s="255"/>
      <c r="H146" s="254"/>
    </row>
    <row r="147" spans="1:8" ht="15" customHeight="1">
      <c r="A147" s="245"/>
      <c r="B147" s="245"/>
      <c r="C147" s="245"/>
      <c r="D147" s="245"/>
      <c r="E147" s="245"/>
      <c r="F147" s="246"/>
      <c r="G147" s="246"/>
      <c r="H147" s="245"/>
    </row>
    <row r="148" spans="1:8" ht="24.75" customHeight="1">
      <c r="A148" s="46" t="s">
        <v>3</v>
      </c>
      <c r="B148" s="46" t="s">
        <v>4</v>
      </c>
      <c r="C148" s="46" t="s">
        <v>5</v>
      </c>
      <c r="D148" s="46" t="s">
        <v>6</v>
      </c>
      <c r="E148" s="46" t="s">
        <v>7</v>
      </c>
      <c r="F148" s="71" t="s">
        <v>8</v>
      </c>
      <c r="G148" s="17" t="str">
        <f>G135</f>
        <v>COMPENSACIONES</v>
      </c>
      <c r="H148" s="46" t="s">
        <v>10</v>
      </c>
    </row>
    <row r="149" spans="1:8" ht="51" customHeight="1">
      <c r="A149" s="125" t="s">
        <v>99</v>
      </c>
      <c r="B149" s="126" t="s">
        <v>62</v>
      </c>
      <c r="C149" s="53">
        <f>10038*1.04*1.05*1.05</f>
        <v>11509.570800000001</v>
      </c>
      <c r="D149" s="53">
        <f>441*1.04*1.05*1.05</f>
        <v>505.65060000000011</v>
      </c>
      <c r="E149" s="49"/>
      <c r="F149" s="77"/>
      <c r="G149" s="77"/>
      <c r="H149" s="49">
        <f>C149-D149+E149+G149</f>
        <v>11003.9202</v>
      </c>
    </row>
    <row r="150" spans="1:8" ht="45" customHeight="1">
      <c r="A150" s="6" t="s">
        <v>100</v>
      </c>
      <c r="B150" s="6" t="s">
        <v>101</v>
      </c>
      <c r="C150" s="83">
        <f>2400*1.04*1.05*1.05</f>
        <v>2751.84</v>
      </c>
      <c r="D150" s="137"/>
      <c r="E150" s="113"/>
      <c r="F150" s="114"/>
      <c r="G150" s="114"/>
      <c r="H150" s="113">
        <f>C150-D150+E150+G150</f>
        <v>2751.84</v>
      </c>
    </row>
    <row r="151" spans="1:8" ht="25.5" customHeight="1">
      <c r="A151" s="44"/>
      <c r="B151" s="127" t="s">
        <v>23</v>
      </c>
      <c r="C151" s="117">
        <f>SUM(C149:C150)</f>
        <v>14261.410800000001</v>
      </c>
      <c r="D151" s="117">
        <f t="shared" ref="D151:H151" si="20">SUM(D149:D150)</f>
        <v>505.65060000000011</v>
      </c>
      <c r="E151" s="117">
        <f t="shared" si="20"/>
        <v>0</v>
      </c>
      <c r="F151" s="133">
        <f t="shared" si="20"/>
        <v>0</v>
      </c>
      <c r="G151" s="133">
        <f t="shared" si="20"/>
        <v>0</v>
      </c>
      <c r="H151" s="117">
        <f t="shared" si="20"/>
        <v>13755.760200000001</v>
      </c>
    </row>
    <row r="152" spans="1:8" ht="15" customHeight="1">
      <c r="A152" s="243"/>
      <c r="B152" s="243"/>
      <c r="C152" s="243"/>
      <c r="D152" s="243"/>
      <c r="E152" s="243"/>
      <c r="F152" s="244"/>
      <c r="G152" s="244"/>
      <c r="H152" s="243"/>
    </row>
    <row r="153" spans="1:8" ht="15" customHeight="1">
      <c r="A153" s="243"/>
      <c r="B153" s="243"/>
      <c r="C153" s="243"/>
      <c r="D153" s="243"/>
      <c r="E153" s="243"/>
      <c r="F153" s="244"/>
      <c r="G153" s="244"/>
      <c r="H153" s="243"/>
    </row>
    <row r="154" spans="1:8" ht="15" customHeight="1">
      <c r="A154" s="254"/>
      <c r="B154" s="254"/>
      <c r="C154" s="254"/>
      <c r="D154" s="254"/>
      <c r="E154" s="254"/>
      <c r="F154" s="255"/>
      <c r="G154" s="255"/>
      <c r="H154" s="254"/>
    </row>
    <row r="155" spans="1:8" ht="15" customHeight="1">
      <c r="A155" s="245"/>
      <c r="B155" s="245"/>
      <c r="C155" s="245"/>
      <c r="D155" s="245"/>
      <c r="E155" s="245"/>
      <c r="F155" s="246"/>
      <c r="G155" s="246"/>
      <c r="H155" s="245"/>
    </row>
    <row r="156" spans="1:8" ht="25.5" customHeight="1">
      <c r="A156" s="46" t="s">
        <v>3</v>
      </c>
      <c r="B156" s="46" t="s">
        <v>4</v>
      </c>
      <c r="C156" s="46" t="s">
        <v>5</v>
      </c>
      <c r="D156" s="46" t="s">
        <v>6</v>
      </c>
      <c r="E156" s="46" t="s">
        <v>7</v>
      </c>
      <c r="F156" s="71" t="s">
        <v>8</v>
      </c>
      <c r="G156" s="17" t="str">
        <f>G148</f>
        <v>COMPENSACIONES</v>
      </c>
      <c r="H156" s="46" t="s">
        <v>10</v>
      </c>
    </row>
    <row r="157" spans="1:8" ht="51" customHeight="1">
      <c r="A157" s="42" t="s">
        <v>102</v>
      </c>
      <c r="B157" s="42" t="s">
        <v>60</v>
      </c>
      <c r="C157" s="53">
        <f>10038*1.04*1.05*1.05</f>
        <v>11509.570800000001</v>
      </c>
      <c r="D157" s="53">
        <f>441*1.04*1.05*1.05</f>
        <v>505.65060000000011</v>
      </c>
      <c r="E157" s="53"/>
      <c r="F157" s="79"/>
      <c r="G157" s="79"/>
      <c r="H157" s="53">
        <f>C157-D157+E157+G157</f>
        <v>11003.9202</v>
      </c>
    </row>
    <row r="158" spans="1:8" ht="51" customHeight="1">
      <c r="A158" s="25" t="s">
        <v>103</v>
      </c>
      <c r="B158" s="25" t="s">
        <v>35</v>
      </c>
      <c r="C158" s="83">
        <f>5410*1.05</f>
        <v>5680.5</v>
      </c>
      <c r="D158" s="83"/>
      <c r="E158" s="72">
        <v>90</v>
      </c>
      <c r="F158" s="28"/>
      <c r="G158" s="73"/>
      <c r="H158" s="72">
        <f>C158-D158+E158+G158</f>
        <v>5770.5</v>
      </c>
    </row>
    <row r="159" spans="1:8" ht="25.5" customHeight="1">
      <c r="A159" s="44"/>
      <c r="B159" s="11" t="s">
        <v>23</v>
      </c>
      <c r="C159" s="38">
        <f>SUM(C157:C158)</f>
        <v>17190.070800000001</v>
      </c>
      <c r="D159" s="38">
        <f t="shared" ref="D159:H159" si="21">SUM(D157:D158)</f>
        <v>505.65060000000011</v>
      </c>
      <c r="E159" s="38">
        <f t="shared" si="21"/>
        <v>90</v>
      </c>
      <c r="F159" s="74">
        <f t="shared" si="21"/>
        <v>0</v>
      </c>
      <c r="G159" s="74">
        <f t="shared" si="21"/>
        <v>0</v>
      </c>
      <c r="H159" s="38">
        <f t="shared" si="21"/>
        <v>16774.4202</v>
      </c>
    </row>
    <row r="160" spans="1:8" s="30" customFormat="1" ht="15" customHeight="1">
      <c r="A160" s="243"/>
      <c r="B160" s="243"/>
      <c r="C160" s="243"/>
      <c r="D160" s="243"/>
      <c r="E160" s="243"/>
      <c r="F160" s="244"/>
      <c r="G160" s="244"/>
      <c r="H160" s="243"/>
    </row>
    <row r="161" spans="1:8" s="30" customFormat="1" ht="15" customHeight="1">
      <c r="A161" s="243"/>
      <c r="B161" s="243"/>
      <c r="C161" s="243"/>
      <c r="D161" s="243"/>
      <c r="E161" s="243"/>
      <c r="F161" s="244"/>
      <c r="G161" s="244"/>
      <c r="H161" s="243"/>
    </row>
    <row r="162" spans="1:8" s="30" customFormat="1" ht="16.5" customHeight="1">
      <c r="A162" s="254"/>
      <c r="B162" s="254"/>
      <c r="C162" s="254"/>
      <c r="D162" s="254"/>
      <c r="E162" s="254"/>
      <c r="F162" s="255"/>
      <c r="G162" s="255"/>
      <c r="H162" s="254"/>
    </row>
    <row r="163" spans="1:8" s="30" customFormat="1" ht="15" customHeight="1">
      <c r="A163" s="245"/>
      <c r="B163" s="245"/>
      <c r="C163" s="245"/>
      <c r="D163" s="245"/>
      <c r="E163" s="245"/>
      <c r="F163" s="246"/>
      <c r="G163" s="246"/>
      <c r="H163" s="245"/>
    </row>
    <row r="164" spans="1:8" s="30" customFormat="1" ht="24.75" customHeight="1">
      <c r="A164" s="46" t="s">
        <v>3</v>
      </c>
      <c r="B164" s="46" t="s">
        <v>4</v>
      </c>
      <c r="C164" s="46" t="s">
        <v>5</v>
      </c>
      <c r="D164" s="46" t="s">
        <v>6</v>
      </c>
      <c r="E164" s="46" t="s">
        <v>7</v>
      </c>
      <c r="F164" s="71" t="s">
        <v>8</v>
      </c>
      <c r="G164" s="17" t="str">
        <f>G156</f>
        <v>COMPENSACIONES</v>
      </c>
      <c r="H164" s="46" t="s">
        <v>10</v>
      </c>
    </row>
    <row r="165" spans="1:8" s="30" customFormat="1" ht="51" customHeight="1">
      <c r="A165" s="42" t="s">
        <v>104</v>
      </c>
      <c r="B165" s="42" t="s">
        <v>56</v>
      </c>
      <c r="C165" s="53">
        <f>7005*1.04*1.05*1.05</f>
        <v>8031.933</v>
      </c>
      <c r="D165" s="53">
        <f>157*1.04*1.05*1.05</f>
        <v>180.01620000000003</v>
      </c>
      <c r="E165" s="138"/>
      <c r="F165" s="86"/>
      <c r="G165" s="73"/>
      <c r="H165" s="49">
        <f>C165-D165+E165+G165</f>
        <v>7851.9168</v>
      </c>
    </row>
    <row r="166" spans="1:8" ht="25.5" customHeight="1">
      <c r="A166" s="128"/>
      <c r="B166" s="11" t="s">
        <v>23</v>
      </c>
      <c r="C166" s="38">
        <f t="shared" ref="C166:H166" si="22">SUM(C165:C165)</f>
        <v>8031.933</v>
      </c>
      <c r="D166" s="38">
        <f t="shared" si="22"/>
        <v>180.01620000000003</v>
      </c>
      <c r="E166" s="38">
        <f t="shared" si="22"/>
        <v>0</v>
      </c>
      <c r="F166" s="74">
        <f t="shared" si="22"/>
        <v>0</v>
      </c>
      <c r="G166" s="139">
        <f t="shared" si="22"/>
        <v>0</v>
      </c>
      <c r="H166" s="38">
        <f t="shared" si="22"/>
        <v>7851.9168</v>
      </c>
    </row>
    <row r="167" spans="1:8" ht="15" customHeight="1">
      <c r="A167" s="243"/>
      <c r="B167" s="243"/>
      <c r="C167" s="243"/>
      <c r="D167" s="243"/>
      <c r="E167" s="243"/>
      <c r="F167" s="244"/>
      <c r="G167" s="244"/>
      <c r="H167" s="243"/>
    </row>
    <row r="168" spans="1:8" ht="15" customHeight="1">
      <c r="A168" s="243"/>
      <c r="B168" s="243"/>
      <c r="C168" s="243"/>
      <c r="D168" s="243"/>
      <c r="E168" s="243"/>
      <c r="F168" s="244"/>
      <c r="G168" s="244"/>
      <c r="H168" s="243"/>
    </row>
    <row r="169" spans="1:8" ht="15" customHeight="1">
      <c r="A169" s="254"/>
      <c r="B169" s="254"/>
      <c r="C169" s="254"/>
      <c r="D169" s="254"/>
      <c r="E169" s="254"/>
      <c r="F169" s="255"/>
      <c r="G169" s="255"/>
      <c r="H169" s="254"/>
    </row>
    <row r="170" spans="1:8" ht="15" customHeight="1">
      <c r="A170" s="245"/>
      <c r="B170" s="245"/>
      <c r="C170" s="245"/>
      <c r="D170" s="245"/>
      <c r="E170" s="245"/>
      <c r="F170" s="246"/>
      <c r="G170" s="246"/>
      <c r="H170" s="245"/>
    </row>
    <row r="171" spans="1:8" ht="24.75" customHeight="1">
      <c r="A171" s="46" t="s">
        <v>3</v>
      </c>
      <c r="B171" s="46" t="s">
        <v>4</v>
      </c>
      <c r="C171" s="46" t="s">
        <v>5</v>
      </c>
      <c r="D171" s="46" t="s">
        <v>6</v>
      </c>
      <c r="E171" s="46" t="s">
        <v>7</v>
      </c>
      <c r="F171" s="71" t="s">
        <v>8</v>
      </c>
      <c r="G171" s="17" t="str">
        <f>G164</f>
        <v>COMPENSACIONES</v>
      </c>
      <c r="H171" s="46" t="s">
        <v>10</v>
      </c>
    </row>
    <row r="172" spans="1:8" ht="51" customHeight="1">
      <c r="A172" s="129"/>
      <c r="B172" s="41"/>
      <c r="C172" s="49"/>
      <c r="D172" s="49"/>
      <c r="E172" s="49"/>
      <c r="F172" s="77"/>
      <c r="G172" s="77"/>
      <c r="H172" s="49">
        <f>C172-D172</f>
        <v>0</v>
      </c>
    </row>
    <row r="173" spans="1:8" ht="25.5" customHeight="1">
      <c r="A173" s="44"/>
      <c r="B173" s="11" t="s">
        <v>23</v>
      </c>
      <c r="C173" s="38">
        <f>SUM(C172)</f>
        <v>0</v>
      </c>
      <c r="D173" s="38">
        <f t="shared" ref="D173:H173" si="23">SUM(D172)</f>
        <v>0</v>
      </c>
      <c r="E173" s="38">
        <f t="shared" si="23"/>
        <v>0</v>
      </c>
      <c r="F173" s="74">
        <f t="shared" si="23"/>
        <v>0</v>
      </c>
      <c r="G173" s="74">
        <f t="shared" si="23"/>
        <v>0</v>
      </c>
      <c r="H173" s="38">
        <f t="shared" si="23"/>
        <v>0</v>
      </c>
    </row>
    <row r="174" spans="1:8" ht="15" customHeight="1">
      <c r="A174" s="243"/>
      <c r="B174" s="243"/>
      <c r="C174" s="243"/>
      <c r="D174" s="243"/>
      <c r="E174" s="243"/>
      <c r="F174" s="244"/>
      <c r="G174" s="244"/>
      <c r="H174" s="243"/>
    </row>
    <row r="175" spans="1:8" ht="15" customHeight="1">
      <c r="A175" s="243"/>
      <c r="B175" s="243"/>
      <c r="C175" s="243"/>
      <c r="D175" s="243"/>
      <c r="E175" s="243"/>
      <c r="F175" s="244"/>
      <c r="G175" s="244"/>
      <c r="H175" s="243"/>
    </row>
    <row r="176" spans="1:8" ht="15" customHeight="1">
      <c r="A176" s="254"/>
      <c r="B176" s="254"/>
      <c r="C176" s="254"/>
      <c r="D176" s="254"/>
      <c r="E176" s="254"/>
      <c r="F176" s="255"/>
      <c r="G176" s="255"/>
      <c r="H176" s="254"/>
    </row>
    <row r="177" spans="1:8" ht="15" customHeight="1">
      <c r="A177" s="245"/>
      <c r="B177" s="245"/>
      <c r="C177" s="245"/>
      <c r="D177" s="245"/>
      <c r="E177" s="245"/>
      <c r="F177" s="246"/>
      <c r="G177" s="246"/>
      <c r="H177" s="245"/>
    </row>
    <row r="178" spans="1:8" ht="24.75" customHeight="1">
      <c r="A178" s="46" t="s">
        <v>3</v>
      </c>
      <c r="B178" s="46" t="s">
        <v>4</v>
      </c>
      <c r="C178" s="46" t="s">
        <v>5</v>
      </c>
      <c r="D178" s="46" t="s">
        <v>6</v>
      </c>
      <c r="E178" s="46" t="s">
        <v>7</v>
      </c>
      <c r="F178" s="71" t="s">
        <v>8</v>
      </c>
      <c r="G178" s="17" t="str">
        <f>G164</f>
        <v>COMPENSACIONES</v>
      </c>
      <c r="H178" s="46" t="s">
        <v>10</v>
      </c>
    </row>
    <row r="179" spans="1:8" ht="40.5" customHeight="1">
      <c r="A179" s="42" t="s">
        <v>105</v>
      </c>
      <c r="B179" s="126" t="s">
        <v>62</v>
      </c>
      <c r="C179" s="53">
        <f>10038*1.04*1.05*1.05</f>
        <v>11509.570800000001</v>
      </c>
      <c r="D179" s="53">
        <f>441*1.04*1.05*1.05</f>
        <v>505.65060000000011</v>
      </c>
      <c r="E179" s="49"/>
      <c r="F179" s="77"/>
      <c r="G179" s="77"/>
      <c r="H179" s="49">
        <f>C179-D179+E179+G179</f>
        <v>11003.9202</v>
      </c>
    </row>
    <row r="180" spans="1:8" ht="39.950000000000003" customHeight="1">
      <c r="A180" s="25" t="s">
        <v>106</v>
      </c>
      <c r="B180" s="4" t="s">
        <v>29</v>
      </c>
      <c r="C180" s="18">
        <f>6961*1.04*1.05*1.05</f>
        <v>7981.4826000000012</v>
      </c>
      <c r="D180" s="140">
        <f>362*1.04*1.05*1.05</f>
        <v>415.06920000000002</v>
      </c>
      <c r="E180" s="140"/>
      <c r="F180" s="141"/>
      <c r="G180" s="142"/>
      <c r="H180" s="37">
        <f>C180-D180+E180+G180</f>
        <v>7566.4134000000013</v>
      </c>
    </row>
    <row r="181" spans="1:8" ht="39.950000000000003" customHeight="1">
      <c r="A181" s="25" t="s">
        <v>107</v>
      </c>
      <c r="B181" s="4" t="s">
        <v>29</v>
      </c>
      <c r="C181" s="18">
        <f>5043*1.04*1.05*1.05</f>
        <v>5782.3038000000006</v>
      </c>
      <c r="D181" s="140"/>
      <c r="E181" s="140">
        <v>90</v>
      </c>
      <c r="F181" s="141"/>
      <c r="G181" s="142"/>
      <c r="H181" s="37">
        <f t="shared" ref="H181:H184" si="24">C181-D181+E181+G181</f>
        <v>5872.3038000000006</v>
      </c>
    </row>
    <row r="182" spans="1:8" ht="39.950000000000003" customHeight="1">
      <c r="A182" s="25" t="s">
        <v>108</v>
      </c>
      <c r="B182" s="25" t="s">
        <v>109</v>
      </c>
      <c r="C182" s="18">
        <f>10291*1.04*1.05*1.05</f>
        <v>11799.660600000003</v>
      </c>
      <c r="D182" s="143">
        <f>441*1.04*1.05*1.05</f>
        <v>505.65060000000011</v>
      </c>
      <c r="E182" s="143"/>
      <c r="F182" s="144"/>
      <c r="G182" s="142"/>
      <c r="H182" s="37">
        <f t="shared" si="24"/>
        <v>11294.010000000002</v>
      </c>
    </row>
    <row r="183" spans="1:8" ht="45" customHeight="1">
      <c r="A183" s="25" t="s">
        <v>110</v>
      </c>
      <c r="B183" s="4" t="s">
        <v>35</v>
      </c>
      <c r="C183" s="18">
        <f>4530*1.04*1.05*1.05</f>
        <v>5194.0980000000009</v>
      </c>
      <c r="D183" s="18"/>
      <c r="E183" s="72">
        <v>90</v>
      </c>
      <c r="F183" s="28"/>
      <c r="G183" s="142"/>
      <c r="H183" s="72">
        <f t="shared" si="24"/>
        <v>5284.0980000000009</v>
      </c>
    </row>
    <row r="184" spans="1:8" ht="50.25" customHeight="1">
      <c r="A184" s="25" t="s">
        <v>111</v>
      </c>
      <c r="B184" s="25" t="s">
        <v>109</v>
      </c>
      <c r="C184" s="18">
        <f>6603*1.04*1.05*1.05</f>
        <v>7570.9998000000005</v>
      </c>
      <c r="D184" s="143">
        <f>132*1.04*1.05*1.05</f>
        <v>151.35120000000001</v>
      </c>
      <c r="E184" s="143"/>
      <c r="F184" s="144"/>
      <c r="G184" s="142"/>
      <c r="H184" s="37">
        <f t="shared" si="24"/>
        <v>7419.6486000000004</v>
      </c>
    </row>
    <row r="185" spans="1:8" ht="25.5" customHeight="1">
      <c r="A185" s="51"/>
      <c r="B185" s="64" t="s">
        <v>48</v>
      </c>
      <c r="C185" s="38">
        <f>SUM(C179:C184)</f>
        <v>49838.115600000005</v>
      </c>
      <c r="D185" s="38">
        <f t="shared" ref="D185:H185" si="25">SUM(D179:D184)</f>
        <v>1577.7216000000003</v>
      </c>
      <c r="E185" s="38">
        <f t="shared" si="25"/>
        <v>180</v>
      </c>
      <c r="F185" s="74">
        <f t="shared" si="25"/>
        <v>0</v>
      </c>
      <c r="G185" s="74">
        <f t="shared" si="25"/>
        <v>0</v>
      </c>
      <c r="H185" s="38">
        <f t="shared" si="25"/>
        <v>48440.394</v>
      </c>
    </row>
    <row r="186" spans="1:8" ht="15" customHeight="1">
      <c r="A186" s="2"/>
      <c r="B186" s="2" t="s">
        <v>112</v>
      </c>
      <c r="C186" s="2"/>
      <c r="D186" s="2"/>
      <c r="E186" s="2"/>
      <c r="F186" s="130"/>
      <c r="G186" s="145"/>
      <c r="H186" s="2"/>
    </row>
    <row r="187" spans="1:8" ht="24.75" customHeight="1">
      <c r="A187" s="46" t="s">
        <v>3</v>
      </c>
      <c r="B187" s="46" t="s">
        <v>4</v>
      </c>
      <c r="C187" s="46" t="s">
        <v>5</v>
      </c>
      <c r="D187" s="46" t="s">
        <v>6</v>
      </c>
      <c r="E187" s="46" t="s">
        <v>7</v>
      </c>
      <c r="F187" s="71" t="s">
        <v>8</v>
      </c>
      <c r="G187" s="17" t="str">
        <f>G178</f>
        <v>COMPENSACIONES</v>
      </c>
      <c r="H187" s="46" t="s">
        <v>10</v>
      </c>
    </row>
    <row r="188" spans="1:8" ht="54.95" customHeight="1">
      <c r="A188" s="42" t="s">
        <v>113</v>
      </c>
      <c r="B188" s="42" t="s">
        <v>114</v>
      </c>
      <c r="C188" s="53">
        <f>8000*1.05*1.05*1.05</f>
        <v>9261</v>
      </c>
      <c r="D188" s="53">
        <f>367*1.05*1.05*1.05</f>
        <v>424.84837500000009</v>
      </c>
      <c r="E188" s="146"/>
      <c r="F188" s="147"/>
      <c r="G188" s="147"/>
      <c r="H188" s="49">
        <f t="shared" ref="H188:H197" si="26">C188-D188+E188+F188+G188</f>
        <v>8836.1516250000004</v>
      </c>
    </row>
    <row r="189" spans="1:8" ht="54.95" customHeight="1">
      <c r="A189" s="131" t="s">
        <v>115</v>
      </c>
      <c r="B189" s="132" t="s">
        <v>116</v>
      </c>
      <c r="C189" s="18">
        <f>6019*1.05*1.05*1.05</f>
        <v>6967.7448750000003</v>
      </c>
      <c r="D189" s="18">
        <f>183*1.05*1.05*1.05</f>
        <v>211.84537500000002</v>
      </c>
      <c r="E189" s="37"/>
      <c r="F189" s="29"/>
      <c r="G189" s="142"/>
      <c r="H189" s="148">
        <f t="shared" si="26"/>
        <v>6755.8995000000004</v>
      </c>
    </row>
    <row r="190" spans="1:8" ht="54.95" customHeight="1">
      <c r="A190" s="25" t="s">
        <v>117</v>
      </c>
      <c r="B190" s="132" t="s">
        <v>118</v>
      </c>
      <c r="C190" s="18">
        <f>7215*1.05*1.05*1.05</f>
        <v>8352.2643750000007</v>
      </c>
      <c r="D190" s="18">
        <f>231*1.05*1.05</f>
        <v>254.67750000000001</v>
      </c>
      <c r="E190" s="37"/>
      <c r="F190" s="29"/>
      <c r="G190" s="142"/>
      <c r="H190" s="148">
        <f t="shared" si="26"/>
        <v>8097.5868750000009</v>
      </c>
    </row>
    <row r="191" spans="1:8" ht="54.95" customHeight="1">
      <c r="A191" s="25" t="s">
        <v>119</v>
      </c>
      <c r="B191" s="132" t="s">
        <v>118</v>
      </c>
      <c r="C191" s="18">
        <f>6432*1.05*1.05*1.05</f>
        <v>7445.844000000001</v>
      </c>
      <c r="D191" s="18">
        <f>183*1.05*1.05*1.05</f>
        <v>211.84537500000002</v>
      </c>
      <c r="E191" s="37"/>
      <c r="F191" s="29"/>
      <c r="G191" s="142"/>
      <c r="H191" s="148">
        <f t="shared" si="26"/>
        <v>7233.9986250000011</v>
      </c>
    </row>
    <row r="192" spans="1:8" ht="54.95" customHeight="1">
      <c r="A192" s="25" t="s">
        <v>120</v>
      </c>
      <c r="B192" s="132" t="s">
        <v>118</v>
      </c>
      <c r="C192" s="18">
        <f>5677*1.05*1.05*1.05</f>
        <v>6571.8371250000009</v>
      </c>
      <c r="D192" s="18">
        <f>157*1.05*1.05*1.05</f>
        <v>181.74712500000001</v>
      </c>
      <c r="E192" s="37"/>
      <c r="F192" s="29"/>
      <c r="G192" s="142"/>
      <c r="H192" s="148">
        <f t="shared" si="26"/>
        <v>6390.0900000000011</v>
      </c>
    </row>
    <row r="193" spans="1:8" ht="54.95" customHeight="1">
      <c r="A193" s="25" t="s">
        <v>121</v>
      </c>
      <c r="B193" s="132" t="s">
        <v>118</v>
      </c>
      <c r="C193" s="18">
        <f>5677*1.05*1.05*1.05</f>
        <v>6571.8371250000009</v>
      </c>
      <c r="D193" s="18">
        <f>157*1.05*1.05*1.05</f>
        <v>181.74712500000001</v>
      </c>
      <c r="E193" s="37"/>
      <c r="F193" s="29"/>
      <c r="G193" s="142"/>
      <c r="H193" s="148">
        <f t="shared" si="26"/>
        <v>6390.0900000000011</v>
      </c>
    </row>
    <row r="194" spans="1:8" ht="54.95" customHeight="1">
      <c r="A194" s="25" t="s">
        <v>122</v>
      </c>
      <c r="B194" s="132" t="s">
        <v>123</v>
      </c>
      <c r="C194" s="18">
        <f>5145*1.05*1.05*1.05</f>
        <v>5955.9806250000001</v>
      </c>
      <c r="D194" s="18">
        <f>157*1.05*1.05*1.05</f>
        <v>181.74712500000001</v>
      </c>
      <c r="E194" s="37"/>
      <c r="F194" s="29"/>
      <c r="G194" s="142"/>
      <c r="H194" s="148">
        <f t="shared" si="26"/>
        <v>5774.2335000000003</v>
      </c>
    </row>
    <row r="195" spans="1:8" ht="54.95" customHeight="1">
      <c r="A195" s="25" t="s">
        <v>124</v>
      </c>
      <c r="B195" s="132" t="s">
        <v>118</v>
      </c>
      <c r="C195" s="18">
        <f>5145*1.05*1.05*1.05</f>
        <v>5955.9806250000001</v>
      </c>
      <c r="D195" s="18">
        <f>157*1.05*1.05*1.05</f>
        <v>181.74712500000001</v>
      </c>
      <c r="E195" s="37"/>
      <c r="F195" s="29"/>
      <c r="G195" s="142"/>
      <c r="H195" s="148">
        <f t="shared" si="26"/>
        <v>5774.2335000000003</v>
      </c>
    </row>
    <row r="196" spans="1:8" ht="54.95" customHeight="1">
      <c r="A196" s="25" t="s">
        <v>125</v>
      </c>
      <c r="B196" s="132" t="s">
        <v>118</v>
      </c>
      <c r="C196" s="18">
        <f>5050*1.05*1.05*1.05</f>
        <v>5846.0062500000004</v>
      </c>
      <c r="D196" s="18">
        <f>140*1.05*1.05*1.05</f>
        <v>162.0675</v>
      </c>
      <c r="E196" s="37"/>
      <c r="F196" s="29"/>
      <c r="G196" s="142"/>
      <c r="H196" s="148">
        <f t="shared" si="26"/>
        <v>5683.9387500000003</v>
      </c>
    </row>
    <row r="197" spans="1:8" ht="54.95" customHeight="1">
      <c r="A197" s="6" t="s">
        <v>126</v>
      </c>
      <c r="B197" s="7" t="s">
        <v>127</v>
      </c>
      <c r="C197" s="83">
        <f>5545*1.05*1.05*1.05</f>
        <v>6419.0306250000003</v>
      </c>
      <c r="D197" s="83">
        <f>103.95*1.05*1.05</f>
        <v>114.60487500000001</v>
      </c>
      <c r="E197" s="37"/>
      <c r="F197" s="29">
        <v>126</v>
      </c>
      <c r="G197" s="142"/>
      <c r="H197" s="148">
        <f t="shared" si="26"/>
        <v>6430.4257500000003</v>
      </c>
    </row>
    <row r="198" spans="1:8" ht="29.25" customHeight="1">
      <c r="A198" s="51"/>
      <c r="B198" s="64" t="s">
        <v>48</v>
      </c>
      <c r="C198" s="149">
        <f t="shared" ref="C198:H198" si="27">SUM(C188:C197)</f>
        <v>69347.525625000009</v>
      </c>
      <c r="D198" s="149">
        <f t="shared" si="27"/>
        <v>2106.8775000000005</v>
      </c>
      <c r="E198" s="149">
        <f t="shared" si="27"/>
        <v>0</v>
      </c>
      <c r="F198" s="160">
        <f t="shared" si="27"/>
        <v>126</v>
      </c>
      <c r="G198" s="160">
        <f t="shared" si="27"/>
        <v>0</v>
      </c>
      <c r="H198" s="149">
        <f t="shared" si="27"/>
        <v>67366.648125000007</v>
      </c>
    </row>
    <row r="199" spans="1:8" ht="25.5" customHeight="1">
      <c r="A199" s="150"/>
      <c r="B199" s="11" t="s">
        <v>23</v>
      </c>
      <c r="C199" s="117">
        <f t="shared" ref="C199:H199" si="28">SUM(C185+C198)</f>
        <v>119185.64122500001</v>
      </c>
      <c r="D199" s="117">
        <f t="shared" si="28"/>
        <v>3684.5991000000008</v>
      </c>
      <c r="E199" s="117">
        <f t="shared" si="28"/>
        <v>180</v>
      </c>
      <c r="F199" s="133">
        <f t="shared" si="28"/>
        <v>126</v>
      </c>
      <c r="G199" s="133">
        <f t="shared" si="28"/>
        <v>0</v>
      </c>
      <c r="H199" s="117">
        <f t="shared" si="28"/>
        <v>115807.04212500001</v>
      </c>
    </row>
    <row r="200" spans="1:8" ht="15" customHeight="1">
      <c r="A200" s="243"/>
      <c r="B200" s="243"/>
      <c r="C200" s="243"/>
      <c r="D200" s="243"/>
      <c r="E200" s="243"/>
      <c r="F200" s="244"/>
      <c r="G200" s="244"/>
      <c r="H200" s="243"/>
    </row>
    <row r="201" spans="1:8" ht="15" customHeight="1">
      <c r="A201" s="243"/>
      <c r="B201" s="243"/>
      <c r="C201" s="243"/>
      <c r="D201" s="243"/>
      <c r="E201" s="243"/>
      <c r="F201" s="244"/>
      <c r="G201" s="244"/>
      <c r="H201" s="243"/>
    </row>
    <row r="202" spans="1:8" ht="15" customHeight="1">
      <c r="A202" s="254"/>
      <c r="B202" s="254"/>
      <c r="C202" s="254"/>
      <c r="D202" s="254"/>
      <c r="E202" s="254"/>
      <c r="F202" s="255"/>
      <c r="G202" s="255"/>
      <c r="H202" s="254"/>
    </row>
    <row r="203" spans="1:8" ht="15" customHeight="1">
      <c r="A203" s="245"/>
      <c r="B203" s="245"/>
      <c r="C203" s="245"/>
      <c r="D203" s="245"/>
      <c r="E203" s="245"/>
      <c r="F203" s="246"/>
      <c r="G203" s="246"/>
      <c r="H203" s="245"/>
    </row>
    <row r="204" spans="1:8" ht="24.75" customHeight="1">
      <c r="A204" s="46" t="s">
        <v>3</v>
      </c>
      <c r="B204" s="46" t="s">
        <v>4</v>
      </c>
      <c r="C204" s="46" t="s">
        <v>5</v>
      </c>
      <c r="D204" s="46" t="s">
        <v>6</v>
      </c>
      <c r="E204" s="46" t="s">
        <v>7</v>
      </c>
      <c r="F204" s="71" t="s">
        <v>8</v>
      </c>
      <c r="G204" s="17" t="str">
        <f>G187</f>
        <v>COMPENSACIONES</v>
      </c>
      <c r="H204" s="46" t="s">
        <v>10</v>
      </c>
    </row>
    <row r="205" spans="1:8" ht="40.5" customHeight="1">
      <c r="A205" s="42" t="s">
        <v>128</v>
      </c>
      <c r="B205" s="41" t="s">
        <v>60</v>
      </c>
      <c r="C205" s="53">
        <f>10038*1.04*1.05*1.05</f>
        <v>11509.570800000001</v>
      </c>
      <c r="D205" s="53">
        <f>441*1.04*1.05*1.05</f>
        <v>505.65060000000011</v>
      </c>
      <c r="E205" s="49"/>
      <c r="F205" s="77"/>
      <c r="G205" s="77"/>
      <c r="H205" s="49">
        <f>C205-D205+E205+G205</f>
        <v>11003.9202</v>
      </c>
    </row>
    <row r="206" spans="1:8" ht="40.5" customHeight="1">
      <c r="A206" s="106" t="s">
        <v>129</v>
      </c>
      <c r="B206" s="24" t="s">
        <v>130</v>
      </c>
      <c r="C206" s="113">
        <f>'[2]MADRE BANCO'!$G$148</f>
        <v>3900</v>
      </c>
      <c r="D206" s="113"/>
      <c r="E206" s="113"/>
      <c r="F206" s="114"/>
      <c r="G206" s="114"/>
      <c r="H206" s="113">
        <f>C206-D206+E206+G206</f>
        <v>3900</v>
      </c>
    </row>
    <row r="207" spans="1:8" ht="25.5" customHeight="1">
      <c r="A207" s="44"/>
      <c r="B207" s="11" t="s">
        <v>23</v>
      </c>
      <c r="C207" s="45">
        <f>SUM(C205:C206)</f>
        <v>15409.570800000001</v>
      </c>
      <c r="D207" s="45">
        <f t="shared" ref="D207:H207" si="29">SUM(D205:D206)</f>
        <v>505.65060000000011</v>
      </c>
      <c r="E207" s="45">
        <f t="shared" si="29"/>
        <v>0</v>
      </c>
      <c r="F207" s="76">
        <f t="shared" si="29"/>
        <v>0</v>
      </c>
      <c r="G207" s="76">
        <f t="shared" si="29"/>
        <v>0</v>
      </c>
      <c r="H207" s="45">
        <f t="shared" si="29"/>
        <v>14903.9202</v>
      </c>
    </row>
    <row r="208" spans="1:8" ht="15" customHeight="1">
      <c r="A208" s="57"/>
      <c r="B208" s="57"/>
      <c r="C208" s="57"/>
      <c r="D208" s="57"/>
      <c r="E208" s="57"/>
      <c r="F208" s="56"/>
      <c r="G208" s="161"/>
      <c r="H208" s="57"/>
    </row>
    <row r="209" spans="1:8" ht="15" customHeight="1">
      <c r="A209" s="57"/>
      <c r="B209" s="57" t="str">
        <f>A2</f>
        <v>ADMINISTRACIÓN 2021-2024</v>
      </c>
      <c r="C209" s="57"/>
      <c r="D209" s="57"/>
      <c r="E209" s="57"/>
      <c r="F209" s="56"/>
      <c r="G209" s="161"/>
      <c r="H209" s="57"/>
    </row>
    <row r="210" spans="1:8" ht="15" customHeight="1">
      <c r="A210" s="57"/>
      <c r="B210" s="57" t="str">
        <f>A3</f>
        <v>Nómina que corresponde a la 2da.  (SEGUNDA   ) quincena del mes de  ENERO de 2024.</v>
      </c>
      <c r="C210" s="57"/>
      <c r="D210" s="57"/>
      <c r="E210" s="57"/>
      <c r="F210" s="56"/>
      <c r="G210" s="161"/>
      <c r="H210" s="57"/>
    </row>
    <row r="211" spans="1:8" ht="15" customHeight="1">
      <c r="A211" s="46"/>
      <c r="B211" s="46" t="s">
        <v>131</v>
      </c>
      <c r="C211" s="46"/>
      <c r="D211" s="46"/>
      <c r="E211" s="46"/>
      <c r="F211" s="60"/>
      <c r="G211" s="162"/>
      <c r="H211" s="46"/>
    </row>
    <row r="212" spans="1:8" ht="24" customHeight="1">
      <c r="A212" s="46" t="s">
        <v>3</v>
      </c>
      <c r="B212" s="46" t="s">
        <v>4</v>
      </c>
      <c r="C212" s="46" t="s">
        <v>5</v>
      </c>
      <c r="D212" s="46" t="s">
        <v>6</v>
      </c>
      <c r="E212" s="46" t="s">
        <v>7</v>
      </c>
      <c r="F212" s="71" t="s">
        <v>8</v>
      </c>
      <c r="G212" s="17" t="str">
        <f>G204</f>
        <v>COMPENSACIONES</v>
      </c>
      <c r="H212" s="46" t="s">
        <v>10</v>
      </c>
    </row>
    <row r="213" spans="1:8" ht="54.95" customHeight="1">
      <c r="A213" s="42" t="s">
        <v>132</v>
      </c>
      <c r="B213" s="41" t="s">
        <v>62</v>
      </c>
      <c r="C213" s="53">
        <f>10038*1.04*1.05*1.05</f>
        <v>11509.570800000001</v>
      </c>
      <c r="D213" s="53">
        <f>441*1.04*1.05*1.05</f>
        <v>505.65060000000011</v>
      </c>
      <c r="E213" s="53"/>
      <c r="F213" s="163"/>
      <c r="G213" s="163"/>
      <c r="H213" s="53">
        <f t="shared" ref="H213:H219" si="30">C213-D213+E213+F213+G213</f>
        <v>11003.9202</v>
      </c>
    </row>
    <row r="214" spans="1:8" ht="54.95" customHeight="1">
      <c r="A214" s="6" t="s">
        <v>133</v>
      </c>
      <c r="B214" s="151" t="s">
        <v>134</v>
      </c>
      <c r="C214" s="152">
        <f>4668*1.05*1.05*1.05</f>
        <v>5403.7935000000016</v>
      </c>
      <c r="D214" s="164"/>
      <c r="E214" s="37">
        <v>90</v>
      </c>
      <c r="F214" s="29"/>
      <c r="G214" s="73"/>
      <c r="H214" s="72">
        <f t="shared" si="30"/>
        <v>5493.7935000000016</v>
      </c>
    </row>
    <row r="215" spans="1:8" ht="54.95" customHeight="1">
      <c r="A215" s="6" t="s">
        <v>135</v>
      </c>
      <c r="B215" s="151" t="s">
        <v>136</v>
      </c>
      <c r="C215" s="153">
        <f>5429*1.05*1.05*1.05</f>
        <v>6284.7461249999997</v>
      </c>
      <c r="D215" s="165"/>
      <c r="E215" s="37">
        <v>90</v>
      </c>
      <c r="F215" s="29"/>
      <c r="G215" s="73"/>
      <c r="H215" s="72">
        <f t="shared" si="30"/>
        <v>6374.7461249999997</v>
      </c>
    </row>
    <row r="216" spans="1:8" ht="54.95" customHeight="1">
      <c r="A216" s="6" t="s">
        <v>137</v>
      </c>
      <c r="B216" s="6" t="s">
        <v>138</v>
      </c>
      <c r="C216" s="62">
        <f>4075*1.05*1.05*1.05</f>
        <v>4717.3218750000005</v>
      </c>
      <c r="D216" s="165"/>
      <c r="E216" s="37">
        <v>150</v>
      </c>
      <c r="F216" s="29"/>
      <c r="G216" s="73"/>
      <c r="H216" s="72">
        <f t="shared" si="30"/>
        <v>4867.3218750000005</v>
      </c>
    </row>
    <row r="217" spans="1:8" ht="54.95" customHeight="1">
      <c r="A217" s="6" t="s">
        <v>139</v>
      </c>
      <c r="B217" s="151" t="s">
        <v>140</v>
      </c>
      <c r="C217" s="62">
        <f>4075*1.05*1.05*1.05</f>
        <v>4717.3218750000005</v>
      </c>
      <c r="D217" s="166"/>
      <c r="E217" s="37">
        <v>150</v>
      </c>
      <c r="F217" s="29"/>
      <c r="G217" s="73"/>
      <c r="H217" s="72">
        <f t="shared" si="30"/>
        <v>4867.3218750000005</v>
      </c>
    </row>
    <row r="218" spans="1:8" ht="54.95" customHeight="1">
      <c r="A218" s="154" t="s">
        <v>141</v>
      </c>
      <c r="B218" s="6" t="s">
        <v>142</v>
      </c>
      <c r="C218" s="155">
        <v>0</v>
      </c>
      <c r="D218" s="167"/>
      <c r="E218" s="37">
        <v>0</v>
      </c>
      <c r="F218" s="29"/>
      <c r="G218" s="73"/>
      <c r="H218" s="72">
        <f t="shared" si="30"/>
        <v>0</v>
      </c>
    </row>
    <row r="219" spans="1:8" ht="54.95" customHeight="1">
      <c r="A219" s="6" t="s">
        <v>143</v>
      </c>
      <c r="B219" s="6" t="s">
        <v>144</v>
      </c>
      <c r="C219" s="62">
        <f>4075*1.05*1.05*1.05</f>
        <v>4717.3218750000005</v>
      </c>
      <c r="D219" s="62"/>
      <c r="E219" s="168">
        <v>142</v>
      </c>
      <c r="F219" s="29"/>
      <c r="G219" s="73"/>
      <c r="H219" s="72">
        <f t="shared" si="30"/>
        <v>4859.3218750000005</v>
      </c>
    </row>
    <row r="220" spans="1:8" ht="54.95" customHeight="1">
      <c r="A220" s="154" t="s">
        <v>145</v>
      </c>
      <c r="B220" s="6" t="s">
        <v>144</v>
      </c>
      <c r="C220" s="62">
        <f>4075*1.05*1.05*1.05</f>
        <v>4717.3218750000005</v>
      </c>
      <c r="D220" s="18"/>
      <c r="E220" s="72">
        <v>142</v>
      </c>
      <c r="F220" s="28"/>
      <c r="G220" s="73"/>
      <c r="H220" s="18">
        <f>C220-D220+E220+G220</f>
        <v>4859.3218750000005</v>
      </c>
    </row>
    <row r="221" spans="1:8" ht="54.95" customHeight="1">
      <c r="A221" s="6" t="s">
        <v>146</v>
      </c>
      <c r="B221" s="6" t="s">
        <v>144</v>
      </c>
      <c r="C221" s="18">
        <f>3885*1.05*1.05*1.05</f>
        <v>4497.373125000001</v>
      </c>
      <c r="D221" s="18"/>
      <c r="E221" s="37">
        <v>142</v>
      </c>
      <c r="F221" s="29"/>
      <c r="G221" s="73"/>
      <c r="H221" s="72">
        <f>C221-D221+E221+F221+G221</f>
        <v>4639.373125000001</v>
      </c>
    </row>
    <row r="222" spans="1:8" ht="54.95" customHeight="1">
      <c r="A222" s="6" t="s">
        <v>147</v>
      </c>
      <c r="B222" s="6" t="s">
        <v>144</v>
      </c>
      <c r="C222" s="18">
        <f>3885*1.05*1.05*1.05</f>
        <v>4497.373125000001</v>
      </c>
      <c r="D222" s="18"/>
      <c r="E222" s="37">
        <v>142</v>
      </c>
      <c r="F222" s="29"/>
      <c r="G222" s="73"/>
      <c r="H222" s="72">
        <f>C222-D222+E222+F222+G222</f>
        <v>4639.373125000001</v>
      </c>
    </row>
    <row r="223" spans="1:8" ht="54.95" customHeight="1">
      <c r="A223" s="6" t="s">
        <v>148</v>
      </c>
      <c r="B223" s="6" t="s">
        <v>144</v>
      </c>
      <c r="C223" s="18">
        <f>3885*1.05*1.05*1.05</f>
        <v>4497.373125000001</v>
      </c>
      <c r="D223" s="18"/>
      <c r="E223" s="37">
        <v>142</v>
      </c>
      <c r="F223" s="29"/>
      <c r="G223" s="73"/>
      <c r="H223" s="72">
        <f>C223-D223+E223+F223+G223</f>
        <v>4639.373125000001</v>
      </c>
    </row>
    <row r="224" spans="1:8" ht="54.95" customHeight="1">
      <c r="A224" s="6" t="s">
        <v>149</v>
      </c>
      <c r="B224" s="6" t="s">
        <v>144</v>
      </c>
      <c r="C224" s="18">
        <f>3885*1.05*1.05*1.05</f>
        <v>4497.373125000001</v>
      </c>
      <c r="D224" s="18"/>
      <c r="E224" s="37">
        <v>142</v>
      </c>
      <c r="F224" s="29"/>
      <c r="G224" s="73"/>
      <c r="H224" s="72">
        <f>C224-D224+E224+F224+G224</f>
        <v>4639.373125000001</v>
      </c>
    </row>
    <row r="225" spans="1:8" ht="54.95" customHeight="1">
      <c r="A225" s="5" t="s">
        <v>150</v>
      </c>
      <c r="B225" s="6" t="s">
        <v>144</v>
      </c>
      <c r="C225" s="18">
        <f>3885*1.05*1.05*1.05</f>
        <v>4497.373125000001</v>
      </c>
      <c r="D225" s="18"/>
      <c r="E225" s="37">
        <v>142</v>
      </c>
      <c r="F225" s="29"/>
      <c r="G225" s="73"/>
      <c r="H225" s="72">
        <f>C225-D225+E225+F225+G225</f>
        <v>4639.373125000001</v>
      </c>
    </row>
    <row r="226" spans="1:8" ht="54.95" customHeight="1">
      <c r="A226" s="5" t="s">
        <v>151</v>
      </c>
      <c r="B226" s="25" t="s">
        <v>152</v>
      </c>
      <c r="C226" s="18">
        <f>5822.25*1.05*1.05</f>
        <v>6419.0306250000003</v>
      </c>
      <c r="D226" s="18">
        <f>103.95*1.05*1.05</f>
        <v>114.60487500000001</v>
      </c>
      <c r="E226" s="72"/>
      <c r="F226" s="28">
        <v>126</v>
      </c>
      <c r="G226" s="73"/>
      <c r="H226" s="18">
        <f>C226-D226+F226+G226</f>
        <v>6430.4257500000003</v>
      </c>
    </row>
    <row r="227" spans="1:8" ht="54.95" customHeight="1">
      <c r="A227" s="5" t="s">
        <v>153</v>
      </c>
      <c r="B227" s="6" t="s">
        <v>144</v>
      </c>
      <c r="C227" s="18">
        <f>3885*1.05*1.05*1.05</f>
        <v>4497.373125000001</v>
      </c>
      <c r="D227" s="18"/>
      <c r="E227" s="37">
        <v>142</v>
      </c>
      <c r="F227" s="29"/>
      <c r="G227" s="73"/>
      <c r="H227" s="72">
        <f>C227-D227+E227+F227+G227</f>
        <v>4639.373125000001</v>
      </c>
    </row>
    <row r="228" spans="1:8" ht="25.5" customHeight="1">
      <c r="A228" s="156"/>
      <c r="B228" s="157" t="s">
        <v>23</v>
      </c>
      <c r="C228" s="158">
        <f t="shared" ref="C228:H228" si="31">SUM(C213:C227)</f>
        <v>75470.667300000001</v>
      </c>
      <c r="D228" s="158">
        <f t="shared" si="31"/>
        <v>620.25547500000016</v>
      </c>
      <c r="E228" s="158">
        <f t="shared" si="31"/>
        <v>1616</v>
      </c>
      <c r="F228" s="169">
        <f t="shared" si="31"/>
        <v>126</v>
      </c>
      <c r="G228" s="169">
        <f t="shared" si="31"/>
        <v>0</v>
      </c>
      <c r="H228" s="158">
        <f t="shared" si="31"/>
        <v>76592.411824999988</v>
      </c>
    </row>
    <row r="229" spans="1:8" ht="15" customHeight="1">
      <c r="A229" s="243"/>
      <c r="B229" s="243"/>
      <c r="C229" s="243"/>
      <c r="D229" s="243"/>
      <c r="E229" s="243"/>
      <c r="F229" s="244"/>
      <c r="G229" s="244"/>
      <c r="H229" s="243"/>
    </row>
    <row r="230" spans="1:8" ht="15" customHeight="1">
      <c r="A230" s="243"/>
      <c r="B230" s="243"/>
      <c r="C230" s="243"/>
      <c r="D230" s="243"/>
      <c r="E230" s="243"/>
      <c r="F230" s="244"/>
      <c r="G230" s="244"/>
      <c r="H230" s="243"/>
    </row>
    <row r="231" spans="1:8" ht="15" customHeight="1">
      <c r="A231" s="254"/>
      <c r="B231" s="254"/>
      <c r="C231" s="254"/>
      <c r="D231" s="254"/>
      <c r="E231" s="254"/>
      <c r="F231" s="255"/>
      <c r="G231" s="255"/>
      <c r="H231" s="254"/>
    </row>
    <row r="232" spans="1:8" ht="15" customHeight="1">
      <c r="A232" s="245"/>
      <c r="B232" s="245"/>
      <c r="C232" s="245"/>
      <c r="D232" s="245"/>
      <c r="E232" s="245"/>
      <c r="F232" s="246"/>
      <c r="G232" s="246"/>
      <c r="H232" s="245"/>
    </row>
    <row r="233" spans="1:8" ht="24.75" customHeight="1">
      <c r="A233" s="46" t="s">
        <v>3</v>
      </c>
      <c r="B233" s="46" t="s">
        <v>4</v>
      </c>
      <c r="C233" s="46" t="s">
        <v>5</v>
      </c>
      <c r="D233" s="46" t="s">
        <v>6</v>
      </c>
      <c r="E233" s="46" t="s">
        <v>7</v>
      </c>
      <c r="F233" s="71" t="s">
        <v>8</v>
      </c>
      <c r="G233" s="17" t="str">
        <f>G212</f>
        <v>COMPENSACIONES</v>
      </c>
      <c r="H233" s="46" t="s">
        <v>10</v>
      </c>
    </row>
    <row r="234" spans="1:8" ht="51" customHeight="1">
      <c r="A234" s="42" t="s">
        <v>154</v>
      </c>
      <c r="B234" s="42" t="s">
        <v>56</v>
      </c>
      <c r="C234" s="53">
        <f>7020*1.04*1.05*1.05</f>
        <v>8049.1320000000005</v>
      </c>
      <c r="D234" s="53">
        <f>220*1.04*1.05*1.05</f>
        <v>252.25200000000001</v>
      </c>
      <c r="E234" s="53"/>
      <c r="F234" s="79"/>
      <c r="G234" s="79"/>
      <c r="H234" s="49">
        <f>C234-D234+E234+F234+G234</f>
        <v>7796.88</v>
      </c>
    </row>
    <row r="235" spans="1:8" ht="51" customHeight="1">
      <c r="A235" s="25" t="s">
        <v>155</v>
      </c>
      <c r="B235" s="25" t="s">
        <v>58</v>
      </c>
      <c r="C235" s="18">
        <f>4790*1.04*1.05*1.05</f>
        <v>5492.2140000000009</v>
      </c>
      <c r="D235" s="18"/>
      <c r="E235" s="37">
        <v>90</v>
      </c>
      <c r="F235" s="29"/>
      <c r="G235" s="73"/>
      <c r="H235" s="37">
        <f t="shared" ref="H235:H237" si="32">C235-D235+E235+G235</f>
        <v>5582.2140000000009</v>
      </c>
    </row>
    <row r="236" spans="1:8" ht="51" customHeight="1">
      <c r="A236" s="25" t="s">
        <v>156</v>
      </c>
      <c r="B236" s="25" t="s">
        <v>157</v>
      </c>
      <c r="C236" s="18">
        <f>6928*1.04*1.05*1.05</f>
        <v>7943.6448000000009</v>
      </c>
      <c r="D236" s="18">
        <f>220*1.04*1.05*1.05</f>
        <v>252.25200000000001</v>
      </c>
      <c r="E236" s="72"/>
      <c r="F236" s="28"/>
      <c r="G236" s="73"/>
      <c r="H236" s="37">
        <f t="shared" ref="H236" si="33">C236-D236+E236+G236</f>
        <v>7691.3928000000005</v>
      </c>
    </row>
    <row r="237" spans="1:8" ht="51" customHeight="1">
      <c r="A237" s="25" t="s">
        <v>158</v>
      </c>
      <c r="B237" s="4" t="s">
        <v>76</v>
      </c>
      <c r="C237" s="18">
        <f>3185*1.05*1.05*1.05</f>
        <v>3687.0356250000004</v>
      </c>
      <c r="D237" s="18"/>
      <c r="E237" s="37">
        <v>142</v>
      </c>
      <c r="F237" s="29"/>
      <c r="G237" s="73"/>
      <c r="H237" s="37">
        <f t="shared" si="32"/>
        <v>3829.0356250000004</v>
      </c>
    </row>
    <row r="238" spans="1:8" ht="25.5" customHeight="1">
      <c r="A238" s="159"/>
      <c r="B238" s="11" t="s">
        <v>23</v>
      </c>
      <c r="C238" s="38">
        <f t="shared" ref="C238:H238" si="34">SUM(C234:C237)</f>
        <v>25172.026425000004</v>
      </c>
      <c r="D238" s="38">
        <f t="shared" si="34"/>
        <v>504.50400000000002</v>
      </c>
      <c r="E238" s="38">
        <f t="shared" si="34"/>
        <v>232</v>
      </c>
      <c r="F238" s="74">
        <f t="shared" si="34"/>
        <v>0</v>
      </c>
      <c r="G238" s="74">
        <f t="shared" si="34"/>
        <v>0</v>
      </c>
      <c r="H238" s="38">
        <f t="shared" si="34"/>
        <v>24899.522425000003</v>
      </c>
    </row>
    <row r="239" spans="1:8" ht="15" customHeight="1">
      <c r="A239" s="243"/>
      <c r="B239" s="243"/>
      <c r="C239" s="243"/>
      <c r="D239" s="243"/>
      <c r="E239" s="243"/>
      <c r="F239" s="244"/>
      <c r="G239" s="244"/>
      <c r="H239" s="243"/>
    </row>
    <row r="240" spans="1:8" ht="15" customHeight="1">
      <c r="A240" s="243"/>
      <c r="B240" s="243"/>
      <c r="C240" s="243"/>
      <c r="D240" s="243"/>
      <c r="E240" s="243"/>
      <c r="F240" s="244"/>
      <c r="G240" s="244"/>
      <c r="H240" s="243"/>
    </row>
    <row r="241" spans="1:8" ht="15" customHeight="1">
      <c r="A241" s="254"/>
      <c r="B241" s="254"/>
      <c r="C241" s="254"/>
      <c r="D241" s="254"/>
      <c r="E241" s="254"/>
      <c r="F241" s="255"/>
      <c r="G241" s="255"/>
      <c r="H241" s="254"/>
    </row>
    <row r="242" spans="1:8" ht="15" customHeight="1">
      <c r="A242" s="245"/>
      <c r="B242" s="245"/>
      <c r="C242" s="245"/>
      <c r="D242" s="245"/>
      <c r="E242" s="245"/>
      <c r="F242" s="246"/>
      <c r="G242" s="246"/>
      <c r="H242" s="245"/>
    </row>
    <row r="243" spans="1:8" ht="24.75" customHeight="1">
      <c r="A243" s="46" t="s">
        <v>3</v>
      </c>
      <c r="B243" s="46" t="s">
        <v>4</v>
      </c>
      <c r="C243" s="46" t="s">
        <v>5</v>
      </c>
      <c r="D243" s="46" t="s">
        <v>6</v>
      </c>
      <c r="E243" s="46" t="s">
        <v>7</v>
      </c>
      <c r="F243" s="71" t="s">
        <v>8</v>
      </c>
      <c r="G243" s="17" t="str">
        <f>G233</f>
        <v>COMPENSACIONES</v>
      </c>
      <c r="H243" s="46" t="s">
        <v>10</v>
      </c>
    </row>
    <row r="244" spans="1:8" ht="51" customHeight="1">
      <c r="A244" s="125" t="s">
        <v>159</v>
      </c>
      <c r="B244" s="126" t="s">
        <v>160</v>
      </c>
      <c r="C244" s="53">
        <f>10038*1.04*1.05*1.05</f>
        <v>11509.570800000001</v>
      </c>
      <c r="D244" s="53">
        <f>441*1.04*1.05*1.05</f>
        <v>505.65060000000011</v>
      </c>
      <c r="E244" s="49"/>
      <c r="F244" s="77"/>
      <c r="G244" s="77"/>
      <c r="H244" s="49">
        <f>C244-D244+E244+G244</f>
        <v>11003.9202</v>
      </c>
    </row>
    <row r="245" spans="1:8" ht="51" customHeight="1">
      <c r="A245" s="6" t="s">
        <v>161</v>
      </c>
      <c r="B245" s="6" t="s">
        <v>162</v>
      </c>
      <c r="C245" s="18">
        <f>3100*1.04*1.05*1.05</f>
        <v>3554.4600000000005</v>
      </c>
      <c r="D245" s="18"/>
      <c r="E245" s="37">
        <v>90</v>
      </c>
      <c r="F245" s="29"/>
      <c r="G245" s="73"/>
      <c r="H245" s="37">
        <f t="shared" ref="H245:H246" si="35">C245-D245+E245+G245</f>
        <v>3644.4600000000005</v>
      </c>
    </row>
    <row r="246" spans="1:8" ht="51" customHeight="1">
      <c r="A246" s="25" t="s">
        <v>163</v>
      </c>
      <c r="B246" s="4" t="s">
        <v>29</v>
      </c>
      <c r="C246" s="83">
        <f>5247*1.04*1.05*1.05</f>
        <v>6016.2102000000004</v>
      </c>
      <c r="D246" s="83"/>
      <c r="E246" s="113">
        <v>90</v>
      </c>
      <c r="F246" s="114"/>
      <c r="G246" s="114"/>
      <c r="H246" s="113">
        <f t="shared" si="35"/>
        <v>6106.2102000000004</v>
      </c>
    </row>
    <row r="247" spans="1:8" ht="25.5" customHeight="1">
      <c r="A247" s="44"/>
      <c r="B247" s="11" t="s">
        <v>23</v>
      </c>
      <c r="C247" s="45">
        <f>SUM(C244:C246)</f>
        <v>21080.241000000002</v>
      </c>
      <c r="D247" s="45">
        <f t="shared" ref="D247:H247" si="36">SUM(D244:D246)</f>
        <v>505.65060000000011</v>
      </c>
      <c r="E247" s="45">
        <f t="shared" si="36"/>
        <v>180</v>
      </c>
      <c r="F247" s="76">
        <f t="shared" si="36"/>
        <v>0</v>
      </c>
      <c r="G247" s="76">
        <f t="shared" si="36"/>
        <v>0</v>
      </c>
      <c r="H247" s="45">
        <f t="shared" si="36"/>
        <v>20754.590400000001</v>
      </c>
    </row>
    <row r="248" spans="1:8" ht="15" customHeight="1">
      <c r="A248" s="243"/>
      <c r="B248" s="243"/>
      <c r="C248" s="243"/>
      <c r="D248" s="243"/>
      <c r="E248" s="243"/>
      <c r="F248" s="244"/>
      <c r="G248" s="244"/>
      <c r="H248" s="243"/>
    </row>
    <row r="249" spans="1:8" ht="15" customHeight="1">
      <c r="A249" s="243"/>
      <c r="B249" s="243"/>
      <c r="C249" s="243"/>
      <c r="D249" s="243"/>
      <c r="E249" s="243"/>
      <c r="F249" s="244"/>
      <c r="G249" s="244"/>
      <c r="H249" s="243"/>
    </row>
    <row r="250" spans="1:8" ht="15" customHeight="1">
      <c r="A250" s="254"/>
      <c r="B250" s="254"/>
      <c r="C250" s="254"/>
      <c r="D250" s="254"/>
      <c r="E250" s="254"/>
      <c r="F250" s="255"/>
      <c r="G250" s="255"/>
      <c r="H250" s="254"/>
    </row>
    <row r="251" spans="1:8" ht="15" customHeight="1">
      <c r="A251" s="245"/>
      <c r="B251" s="245"/>
      <c r="C251" s="245"/>
      <c r="D251" s="245"/>
      <c r="E251" s="245"/>
      <c r="F251" s="246"/>
      <c r="G251" s="246"/>
      <c r="H251" s="245"/>
    </row>
    <row r="252" spans="1:8" ht="30.75" customHeight="1">
      <c r="A252" s="46" t="s">
        <v>3</v>
      </c>
      <c r="B252" s="46" t="s">
        <v>4</v>
      </c>
      <c r="C252" s="46" t="s">
        <v>5</v>
      </c>
      <c r="D252" s="46" t="s">
        <v>6</v>
      </c>
      <c r="E252" s="46" t="s">
        <v>7</v>
      </c>
      <c r="F252" s="71" t="s">
        <v>8</v>
      </c>
      <c r="G252" s="17" t="str">
        <f>G243</f>
        <v>COMPENSACIONES</v>
      </c>
      <c r="H252" s="46" t="s">
        <v>10</v>
      </c>
    </row>
    <row r="253" spans="1:8" ht="51" customHeight="1">
      <c r="A253" s="125" t="s">
        <v>164</v>
      </c>
      <c r="B253" s="41" t="s">
        <v>60</v>
      </c>
      <c r="C253" s="53">
        <f>10451*1.04*1.05*1.05</f>
        <v>11983.116600000003</v>
      </c>
      <c r="D253" s="53">
        <f>441*1.04*1.05*1.05</f>
        <v>505.65060000000011</v>
      </c>
      <c r="E253" s="49"/>
      <c r="F253" s="77"/>
      <c r="G253" s="77"/>
      <c r="H253" s="49">
        <f>C253-D253+E253+G253</f>
        <v>11477.466000000002</v>
      </c>
    </row>
    <row r="254" spans="1:8" ht="51" customHeight="1">
      <c r="A254" s="8" t="s">
        <v>165</v>
      </c>
      <c r="B254" s="4" t="s">
        <v>166</v>
      </c>
      <c r="C254" s="18">
        <f>5341.35*1.05</f>
        <v>5608.4175000000005</v>
      </c>
      <c r="D254" s="18">
        <f>154*1.05</f>
        <v>161.70000000000002</v>
      </c>
      <c r="E254" s="37"/>
      <c r="F254" s="29"/>
      <c r="G254" s="73"/>
      <c r="H254" s="37">
        <f>C254-D254+E254+G254</f>
        <v>5446.7175000000007</v>
      </c>
    </row>
    <row r="255" spans="1:8" ht="51" customHeight="1">
      <c r="A255" s="6" t="s">
        <v>167</v>
      </c>
      <c r="B255" s="7" t="s">
        <v>168</v>
      </c>
      <c r="C255" s="83">
        <f>7458*1.05*1.05*1.05</f>
        <v>8633.5672500000019</v>
      </c>
      <c r="D255" s="83">
        <f>367*1.05*1.05*1.05</f>
        <v>424.84837500000009</v>
      </c>
      <c r="E255" s="113"/>
      <c r="F255" s="114">
        <v>280</v>
      </c>
      <c r="G255" s="114"/>
      <c r="H255" s="113">
        <f>C255-D255+E255+G255+F255</f>
        <v>8488.7188750000023</v>
      </c>
    </row>
    <row r="257" spans="1:8" ht="25.5" customHeight="1">
      <c r="A257" s="170"/>
      <c r="B257" s="171" t="s">
        <v>48</v>
      </c>
      <c r="C257" s="117">
        <f>SUM(C253:C256)</f>
        <v>26225.101350000004</v>
      </c>
      <c r="D257" s="117">
        <f t="shared" ref="D257:H257" si="37">SUM(D253:D256)</f>
        <v>1092.1989750000002</v>
      </c>
      <c r="E257" s="117">
        <f t="shared" si="37"/>
        <v>0</v>
      </c>
      <c r="F257" s="133">
        <f t="shared" si="37"/>
        <v>280</v>
      </c>
      <c r="G257" s="133">
        <f t="shared" si="37"/>
        <v>0</v>
      </c>
      <c r="H257" s="117">
        <f t="shared" si="37"/>
        <v>25412.902375000005</v>
      </c>
    </row>
    <row r="258" spans="1:8" ht="15" customHeight="1">
      <c r="A258" s="245"/>
      <c r="B258" s="245"/>
      <c r="C258" s="245"/>
      <c r="D258" s="245"/>
      <c r="E258" s="245"/>
      <c r="F258" s="246"/>
      <c r="G258" s="246"/>
      <c r="H258" s="245"/>
    </row>
    <row r="259" spans="1:8" ht="24.75" customHeight="1">
      <c r="A259" s="46" t="s">
        <v>3</v>
      </c>
      <c r="B259" s="46" t="s">
        <v>4</v>
      </c>
      <c r="C259" s="46" t="s">
        <v>5</v>
      </c>
      <c r="D259" s="46" t="s">
        <v>6</v>
      </c>
      <c r="E259" s="46" t="s">
        <v>7</v>
      </c>
      <c r="F259" s="71" t="s">
        <v>8</v>
      </c>
      <c r="G259" s="17" t="str">
        <f>G252</f>
        <v>COMPENSACIONES</v>
      </c>
      <c r="H259" s="46" t="s">
        <v>10</v>
      </c>
    </row>
    <row r="260" spans="1:8" ht="51" customHeight="1">
      <c r="A260" s="6" t="s">
        <v>169</v>
      </c>
      <c r="B260" s="7" t="s">
        <v>170</v>
      </c>
      <c r="C260" s="18">
        <f>6498*1.05*1.05*1.05</f>
        <v>7522.2472500000013</v>
      </c>
      <c r="D260" s="18">
        <f>220*1.05*1.05*1.05</f>
        <v>254.67750000000001</v>
      </c>
      <c r="E260" s="37"/>
      <c r="F260" s="29">
        <v>175</v>
      </c>
      <c r="G260" s="73"/>
      <c r="H260" s="37">
        <f>C260-D260+E260+F260+G260</f>
        <v>7442.5697500000015</v>
      </c>
    </row>
    <row r="261" spans="1:8" ht="51" customHeight="1">
      <c r="A261" s="25" t="s">
        <v>171</v>
      </c>
      <c r="B261" s="7" t="s">
        <v>170</v>
      </c>
      <c r="C261" s="18">
        <f>6498*1.05*1.05*1.05</f>
        <v>7522.2472500000013</v>
      </c>
      <c r="D261" s="18">
        <f>220*1.05*1.05*1.05</f>
        <v>254.67750000000001</v>
      </c>
      <c r="E261" s="37"/>
      <c r="F261" s="29">
        <v>175</v>
      </c>
      <c r="G261" s="73"/>
      <c r="H261" s="37">
        <f>C261-D261+E261+F261+G261</f>
        <v>7442.5697500000015</v>
      </c>
    </row>
    <row r="262" spans="1:8" ht="51" customHeight="1">
      <c r="A262" s="5" t="s">
        <v>172</v>
      </c>
      <c r="B262" s="7" t="s">
        <v>170</v>
      </c>
      <c r="C262" s="18">
        <f>6498*1.05*1.05*1.05</f>
        <v>7522.2472500000013</v>
      </c>
      <c r="D262" s="18">
        <f>220*1.05*1.05*1.05</f>
        <v>254.67750000000001</v>
      </c>
      <c r="E262" s="37"/>
      <c r="F262" s="29">
        <v>175</v>
      </c>
      <c r="G262" s="73"/>
      <c r="H262" s="37">
        <f>C262-D262+E262+F262+G262</f>
        <v>7442.5697500000015</v>
      </c>
    </row>
    <row r="263" spans="1:8" ht="51" customHeight="1">
      <c r="A263" s="6" t="s">
        <v>173</v>
      </c>
      <c r="B263" s="172" t="s">
        <v>170</v>
      </c>
      <c r="C263" s="83">
        <f>6498*1.05*1.05*1.05</f>
        <v>7522.2472500000013</v>
      </c>
      <c r="D263" s="83">
        <f>220*1.05*1.05*1.05</f>
        <v>254.67750000000001</v>
      </c>
      <c r="E263" s="113"/>
      <c r="F263" s="114">
        <v>175</v>
      </c>
      <c r="G263" s="110"/>
      <c r="H263" s="113">
        <f>C263-D263+E263+F263+G263</f>
        <v>7442.5697500000015</v>
      </c>
    </row>
    <row r="264" spans="1:8" ht="25.5" customHeight="1">
      <c r="A264" s="170"/>
      <c r="B264" s="171" t="s">
        <v>174</v>
      </c>
      <c r="C264" s="117">
        <f t="shared" ref="C264:H264" si="38">SUM(C260:C263)</f>
        <v>30088.989000000005</v>
      </c>
      <c r="D264" s="117">
        <f t="shared" si="38"/>
        <v>1018.71</v>
      </c>
      <c r="E264" s="117">
        <f t="shared" si="38"/>
        <v>0</v>
      </c>
      <c r="F264" s="133">
        <f t="shared" si="38"/>
        <v>700</v>
      </c>
      <c r="G264" s="133">
        <f t="shared" si="38"/>
        <v>0</v>
      </c>
      <c r="H264" s="117">
        <f t="shared" si="38"/>
        <v>29770.279000000006</v>
      </c>
    </row>
    <row r="265" spans="1:8" ht="15" customHeight="1">
      <c r="A265" s="245"/>
      <c r="B265" s="245"/>
      <c r="C265" s="245"/>
      <c r="D265" s="245"/>
      <c r="E265" s="245"/>
      <c r="F265" s="246"/>
      <c r="G265" s="246"/>
      <c r="H265" s="245"/>
    </row>
    <row r="266" spans="1:8" ht="24.75" customHeight="1">
      <c r="A266" s="46" t="s">
        <v>3</v>
      </c>
      <c r="B266" s="46" t="s">
        <v>4</v>
      </c>
      <c r="C266" s="46" t="s">
        <v>5</v>
      </c>
      <c r="D266" s="46" t="s">
        <v>6</v>
      </c>
      <c r="E266" s="46" t="s">
        <v>7</v>
      </c>
      <c r="F266" s="71" t="s">
        <v>8</v>
      </c>
      <c r="G266" s="17" t="str">
        <f>G259</f>
        <v>COMPENSACIONES</v>
      </c>
      <c r="H266" s="46" t="s">
        <v>10</v>
      </c>
    </row>
    <row r="267" spans="1:8" ht="50.25" customHeight="1">
      <c r="A267" s="6" t="s">
        <v>175</v>
      </c>
      <c r="B267" s="7" t="s">
        <v>176</v>
      </c>
      <c r="C267" s="18">
        <f>6720.84*1.05</f>
        <v>7056.8820000000005</v>
      </c>
      <c r="D267" s="18">
        <f>201.76*1.05</f>
        <v>211.84800000000001</v>
      </c>
      <c r="E267" s="37"/>
      <c r="F267" s="29">
        <v>153</v>
      </c>
      <c r="G267" s="73"/>
      <c r="H267" s="37">
        <f t="shared" ref="H267:H271" si="39">C267-D267+E267+F267+G267</f>
        <v>6998.0340000000006</v>
      </c>
    </row>
    <row r="268" spans="1:8" ht="51" customHeight="1">
      <c r="A268" s="25" t="s">
        <v>177</v>
      </c>
      <c r="B268" s="7" t="s">
        <v>176</v>
      </c>
      <c r="C268" s="18">
        <f>6096*1.05*1.05*1.05</f>
        <v>7056.8820000000005</v>
      </c>
      <c r="D268" s="18">
        <f>183*1.05*1.05*1.05</f>
        <v>211.84537500000002</v>
      </c>
      <c r="E268" s="37"/>
      <c r="F268" s="29">
        <v>153</v>
      </c>
      <c r="G268" s="73"/>
      <c r="H268" s="37">
        <f t="shared" si="39"/>
        <v>6998.0366250000006</v>
      </c>
    </row>
    <row r="269" spans="1:8" ht="51" customHeight="1">
      <c r="A269" s="25" t="s">
        <v>178</v>
      </c>
      <c r="B269" s="7" t="s">
        <v>176</v>
      </c>
      <c r="C269" s="18">
        <f>6096*1.05*1.05*1.05</f>
        <v>7056.8820000000005</v>
      </c>
      <c r="D269" s="18">
        <f>183*1.05*1.05*1.05</f>
        <v>211.84537500000002</v>
      </c>
      <c r="E269" s="37"/>
      <c r="F269" s="29">
        <v>153</v>
      </c>
      <c r="G269" s="73"/>
      <c r="H269" s="37">
        <f t="shared" si="39"/>
        <v>6998.0366250000006</v>
      </c>
    </row>
    <row r="270" spans="1:8" ht="51" customHeight="1">
      <c r="A270" s="6" t="s">
        <v>179</v>
      </c>
      <c r="B270" s="7" t="s">
        <v>176</v>
      </c>
      <c r="C270" s="18">
        <f>6822.9*1.05*1.05</f>
        <v>7522.2472500000003</v>
      </c>
      <c r="D270" s="18">
        <f>231*1.05*1.05</f>
        <v>254.67750000000001</v>
      </c>
      <c r="E270" s="37"/>
      <c r="F270" s="29">
        <v>175</v>
      </c>
      <c r="G270" s="73"/>
      <c r="H270" s="37">
        <f t="shared" si="39"/>
        <v>7442.5697500000006</v>
      </c>
    </row>
    <row r="271" spans="1:8" ht="51" customHeight="1">
      <c r="A271" s="5" t="s">
        <v>180</v>
      </c>
      <c r="B271" s="7" t="s">
        <v>176</v>
      </c>
      <c r="C271" s="18">
        <f>6400.8*1.05*1.05</f>
        <v>7056.8820000000005</v>
      </c>
      <c r="D271" s="18">
        <f>201.76*1.05</f>
        <v>211.84800000000001</v>
      </c>
      <c r="E271" s="37"/>
      <c r="F271" s="29">
        <v>153</v>
      </c>
      <c r="G271" s="73"/>
      <c r="H271" s="37">
        <f t="shared" si="39"/>
        <v>6998.0340000000006</v>
      </c>
    </row>
    <row r="272" spans="1:8" ht="51" customHeight="1">
      <c r="A272" s="8" t="s">
        <v>181</v>
      </c>
      <c r="B272" s="7" t="s">
        <v>176</v>
      </c>
      <c r="C272" s="18">
        <f t="shared" ref="C272:C274" si="40">6400.8*1.05*1.05</f>
        <v>7056.8820000000005</v>
      </c>
      <c r="D272" s="18">
        <f t="shared" ref="D272:D275" si="41">201.76*1.05</f>
        <v>211.84800000000001</v>
      </c>
      <c r="E272" s="37"/>
      <c r="F272" s="29">
        <v>153</v>
      </c>
      <c r="G272" s="73"/>
      <c r="H272" s="37">
        <f t="shared" ref="H272:H275" si="42">C272-D272+E272+F272+G272</f>
        <v>6998.0340000000006</v>
      </c>
    </row>
    <row r="273" spans="1:11" ht="51" customHeight="1">
      <c r="A273" s="8" t="s">
        <v>182</v>
      </c>
      <c r="B273" s="7" t="s">
        <v>176</v>
      </c>
      <c r="C273" s="18">
        <f t="shared" si="40"/>
        <v>7056.8820000000005</v>
      </c>
      <c r="D273" s="18">
        <f t="shared" si="41"/>
        <v>211.84800000000001</v>
      </c>
      <c r="E273" s="37"/>
      <c r="F273" s="29">
        <v>153</v>
      </c>
      <c r="G273" s="73"/>
      <c r="H273" s="37">
        <f t="shared" si="42"/>
        <v>6998.0340000000006</v>
      </c>
    </row>
    <row r="274" spans="1:11" ht="51" customHeight="1">
      <c r="A274" s="5" t="s">
        <v>183</v>
      </c>
      <c r="B274" s="7" t="s">
        <v>176</v>
      </c>
      <c r="C274" s="18">
        <f t="shared" si="40"/>
        <v>7056.8820000000005</v>
      </c>
      <c r="D274" s="18">
        <f t="shared" si="41"/>
        <v>211.84800000000001</v>
      </c>
      <c r="E274" s="37"/>
      <c r="F274" s="29">
        <v>153</v>
      </c>
      <c r="G274" s="73"/>
      <c r="H274" s="37">
        <f t="shared" si="42"/>
        <v>6998.0340000000006</v>
      </c>
    </row>
    <row r="275" spans="1:11" ht="51" customHeight="1">
      <c r="A275" s="6" t="s">
        <v>184</v>
      </c>
      <c r="B275" s="172" t="s">
        <v>176</v>
      </c>
      <c r="C275" s="83">
        <f>'[2]MADRE BANCO'!$G$205</f>
        <v>7409.7260999999999</v>
      </c>
      <c r="D275" s="83">
        <f t="shared" si="41"/>
        <v>211.84800000000001</v>
      </c>
      <c r="E275" s="113"/>
      <c r="F275" s="114">
        <v>157</v>
      </c>
      <c r="G275" s="110"/>
      <c r="H275" s="113">
        <f t="shared" si="42"/>
        <v>7354.8780999999999</v>
      </c>
    </row>
    <row r="276" spans="1:11" ht="25.5" customHeight="1">
      <c r="A276" s="51"/>
      <c r="B276" s="171" t="s">
        <v>174</v>
      </c>
      <c r="C276" s="117">
        <f t="shared" ref="C276:H276" si="43">SUM(C267:C275)</f>
        <v>64330.147349999992</v>
      </c>
      <c r="D276" s="117">
        <f t="shared" si="43"/>
        <v>1949.45625</v>
      </c>
      <c r="E276" s="117">
        <f t="shared" si="43"/>
        <v>0</v>
      </c>
      <c r="F276" s="133">
        <f t="shared" si="43"/>
        <v>1403</v>
      </c>
      <c r="G276" s="133">
        <f t="shared" si="43"/>
        <v>0</v>
      </c>
      <c r="H276" s="117">
        <f t="shared" si="43"/>
        <v>63783.691100000004</v>
      </c>
    </row>
    <row r="277" spans="1:11" ht="15" customHeight="1">
      <c r="A277" s="262"/>
      <c r="B277" s="262"/>
      <c r="C277" s="262"/>
      <c r="D277" s="262"/>
      <c r="E277" s="262"/>
      <c r="F277" s="257"/>
      <c r="G277" s="257"/>
      <c r="H277" s="262"/>
    </row>
    <row r="278" spans="1:11" ht="24.75" customHeight="1">
      <c r="A278" s="46" t="s">
        <v>3</v>
      </c>
      <c r="B278" s="46" t="s">
        <v>4</v>
      </c>
      <c r="C278" s="46" t="s">
        <v>5</v>
      </c>
      <c r="D278" s="46" t="s">
        <v>6</v>
      </c>
      <c r="E278" s="46" t="s">
        <v>7</v>
      </c>
      <c r="F278" s="71" t="s">
        <v>8</v>
      </c>
      <c r="G278" s="17" t="str">
        <f>G266</f>
        <v>COMPENSACIONES</v>
      </c>
      <c r="H278" s="46" t="s">
        <v>10</v>
      </c>
    </row>
    <row r="279" spans="1:11" ht="51" customHeight="1">
      <c r="A279" s="6" t="s">
        <v>185</v>
      </c>
      <c r="B279" s="7" t="s">
        <v>186</v>
      </c>
      <c r="C279" s="18">
        <f>5545*1.05*1.05*1.05</f>
        <v>6419.0306250000003</v>
      </c>
      <c r="D279" s="18">
        <f>99*1.05*1.05*1.05</f>
        <v>114.60487500000001</v>
      </c>
      <c r="E279" s="37"/>
      <c r="F279" s="29">
        <v>126</v>
      </c>
      <c r="G279" s="177"/>
      <c r="H279" s="37">
        <f>C279-D279+E279+F279+G279</f>
        <v>6430.4257500000003</v>
      </c>
      <c r="K279" s="180" t="e">
        <f>5844.3-#REF!</f>
        <v>#REF!</v>
      </c>
    </row>
    <row r="280" spans="1:11" ht="51" customHeight="1">
      <c r="A280" s="6" t="s">
        <v>187</v>
      </c>
      <c r="B280" s="7" t="s">
        <v>186</v>
      </c>
      <c r="C280" s="18">
        <f>5545*1.05*1.05*1.05</f>
        <v>6419.0306250000003</v>
      </c>
      <c r="D280" s="18">
        <f t="shared" ref="D280:D290" si="44">99*1.05*1.05*1.05</f>
        <v>114.60487500000001</v>
      </c>
      <c r="E280" s="37"/>
      <c r="F280" s="29">
        <v>126</v>
      </c>
      <c r="G280" s="177"/>
      <c r="H280" s="37">
        <f>C280-D280+E280+F280+G280</f>
        <v>6430.4257500000003</v>
      </c>
    </row>
    <row r="281" spans="1:11" s="30" customFormat="1" ht="51" customHeight="1">
      <c r="A281" s="6" t="s">
        <v>188</v>
      </c>
      <c r="B281" s="7" t="s">
        <v>186</v>
      </c>
      <c r="C281" s="18">
        <f>5545*1.05*1.05*1.05</f>
        <v>6419.0306250000003</v>
      </c>
      <c r="D281" s="18">
        <f t="shared" si="44"/>
        <v>114.60487500000001</v>
      </c>
      <c r="E281" s="37"/>
      <c r="F281" s="29">
        <v>126</v>
      </c>
      <c r="G281" s="177"/>
      <c r="H281" s="37">
        <f>C281-D281+E281+G281+F281</f>
        <v>6430.4257500000003</v>
      </c>
    </row>
    <row r="282" spans="1:11" ht="51" customHeight="1">
      <c r="A282" s="8" t="s">
        <v>189</v>
      </c>
      <c r="B282" s="7" t="s">
        <v>186</v>
      </c>
      <c r="C282" s="18">
        <f t="shared" ref="C282:C290" si="45">5822.25*1.05*1.05</f>
        <v>6419.0306250000003</v>
      </c>
      <c r="D282" s="18">
        <f t="shared" si="44"/>
        <v>114.60487500000001</v>
      </c>
      <c r="E282" s="37"/>
      <c r="F282" s="29">
        <v>126</v>
      </c>
      <c r="G282" s="177"/>
      <c r="H282" s="37">
        <f t="shared" ref="H282:H285" si="46">C282-D282+E282+F282+G282</f>
        <v>6430.4257500000003</v>
      </c>
    </row>
    <row r="283" spans="1:11" ht="51" customHeight="1">
      <c r="A283" s="8" t="s">
        <v>190</v>
      </c>
      <c r="B283" s="7" t="s">
        <v>186</v>
      </c>
      <c r="C283" s="18">
        <f t="shared" si="45"/>
        <v>6419.0306250000003</v>
      </c>
      <c r="D283" s="18">
        <f t="shared" si="44"/>
        <v>114.60487500000001</v>
      </c>
      <c r="E283" s="37"/>
      <c r="F283" s="29">
        <v>126</v>
      </c>
      <c r="G283" s="177"/>
      <c r="H283" s="37">
        <f t="shared" si="46"/>
        <v>6430.4257500000003</v>
      </c>
    </row>
    <row r="284" spans="1:11" ht="51" customHeight="1">
      <c r="A284" s="8" t="s">
        <v>191</v>
      </c>
      <c r="B284" s="7" t="s">
        <v>186</v>
      </c>
      <c r="C284" s="18">
        <f t="shared" si="45"/>
        <v>6419.0306250000003</v>
      </c>
      <c r="D284" s="18">
        <f t="shared" si="44"/>
        <v>114.60487500000001</v>
      </c>
      <c r="E284" s="37"/>
      <c r="F284" s="29">
        <v>126</v>
      </c>
      <c r="G284" s="177"/>
      <c r="H284" s="37">
        <f t="shared" si="46"/>
        <v>6430.4257500000003</v>
      </c>
    </row>
    <row r="285" spans="1:11" ht="51" customHeight="1">
      <c r="A285" s="5" t="s">
        <v>192</v>
      </c>
      <c r="B285" s="7" t="s">
        <v>186</v>
      </c>
      <c r="C285" s="18">
        <f t="shared" si="45"/>
        <v>6419.0306250000003</v>
      </c>
      <c r="D285" s="18">
        <f t="shared" si="44"/>
        <v>114.60487500000001</v>
      </c>
      <c r="E285" s="37"/>
      <c r="F285" s="29">
        <v>126</v>
      </c>
      <c r="G285" s="177"/>
      <c r="H285" s="37">
        <f t="shared" si="46"/>
        <v>6430.4257500000003</v>
      </c>
    </row>
    <row r="286" spans="1:11" ht="51" customHeight="1">
      <c r="A286" s="5" t="s">
        <v>193</v>
      </c>
      <c r="B286" s="7" t="s">
        <v>186</v>
      </c>
      <c r="C286" s="18">
        <f t="shared" si="45"/>
        <v>6419.0306250000003</v>
      </c>
      <c r="D286" s="18">
        <f t="shared" si="44"/>
        <v>114.60487500000001</v>
      </c>
      <c r="E286" s="37"/>
      <c r="F286" s="29">
        <v>126</v>
      </c>
      <c r="G286" s="177"/>
      <c r="H286" s="37">
        <f t="shared" ref="H286" si="47">C286-D286+E286+F286+G286</f>
        <v>6430.4257500000003</v>
      </c>
    </row>
    <row r="287" spans="1:11" ht="51" customHeight="1">
      <c r="A287" s="8" t="s">
        <v>194</v>
      </c>
      <c r="B287" s="7" t="s">
        <v>186</v>
      </c>
      <c r="C287" s="18">
        <f t="shared" si="45"/>
        <v>6419.0306250000003</v>
      </c>
      <c r="D287" s="18">
        <f t="shared" si="44"/>
        <v>114.60487500000001</v>
      </c>
      <c r="E287" s="37"/>
      <c r="F287" s="29">
        <v>126</v>
      </c>
      <c r="G287" s="177"/>
      <c r="H287" s="37">
        <f t="shared" ref="H287" si="48">C287-D287+E287+F287+G287</f>
        <v>6430.4257500000003</v>
      </c>
    </row>
    <row r="288" spans="1:11" ht="51" customHeight="1">
      <c r="A288" s="9" t="s">
        <v>195</v>
      </c>
      <c r="B288" s="7" t="s">
        <v>186</v>
      </c>
      <c r="C288" s="18">
        <f t="shared" si="45"/>
        <v>6419.0306250000003</v>
      </c>
      <c r="D288" s="18">
        <f t="shared" si="44"/>
        <v>114.60487500000001</v>
      </c>
      <c r="E288" s="37"/>
      <c r="F288" s="29">
        <v>126</v>
      </c>
      <c r="G288" s="177"/>
      <c r="H288" s="37">
        <f t="shared" ref="H288:H289" si="49">C288-D288+E288+F288+G288</f>
        <v>6430.4257500000003</v>
      </c>
    </row>
    <row r="289" spans="1:8" ht="51" customHeight="1">
      <c r="A289" s="8" t="s">
        <v>196</v>
      </c>
      <c r="B289" s="7" t="s">
        <v>186</v>
      </c>
      <c r="C289" s="18">
        <f t="shared" si="45"/>
        <v>6419.0306250000003</v>
      </c>
      <c r="D289" s="18">
        <f t="shared" si="44"/>
        <v>114.60487500000001</v>
      </c>
      <c r="E289" s="37"/>
      <c r="F289" s="29">
        <v>126</v>
      </c>
      <c r="G289" s="177"/>
      <c r="H289" s="37">
        <f t="shared" si="49"/>
        <v>6430.4257500000003</v>
      </c>
    </row>
    <row r="290" spans="1:8" ht="51" customHeight="1">
      <c r="A290" s="5" t="s">
        <v>197</v>
      </c>
      <c r="B290" s="7" t="s">
        <v>186</v>
      </c>
      <c r="C290" s="103">
        <f t="shared" si="45"/>
        <v>6419.0306250000003</v>
      </c>
      <c r="D290" s="18">
        <f t="shared" si="44"/>
        <v>114.60487500000001</v>
      </c>
      <c r="E290" s="37"/>
      <c r="F290" s="29">
        <v>126</v>
      </c>
      <c r="G290" s="177"/>
      <c r="H290" s="37">
        <f t="shared" ref="H290" si="50">C290-D290+E290+F290+G290</f>
        <v>6430.4257500000003</v>
      </c>
    </row>
    <row r="292" spans="1:8" ht="33" customHeight="1">
      <c r="A292" s="170"/>
      <c r="B292" s="171" t="s">
        <v>174</v>
      </c>
      <c r="C292" s="173">
        <f t="shared" ref="C292:H292" si="51">SUM(C279:C291)</f>
        <v>77028.367500000008</v>
      </c>
      <c r="D292" s="173">
        <f t="shared" si="51"/>
        <v>1375.2585000000001</v>
      </c>
      <c r="E292" s="173">
        <f t="shared" si="51"/>
        <v>0</v>
      </c>
      <c r="F292" s="178">
        <f t="shared" si="51"/>
        <v>1512</v>
      </c>
      <c r="G292" s="178">
        <f t="shared" si="51"/>
        <v>0</v>
      </c>
      <c r="H292" s="173">
        <f t="shared" si="51"/>
        <v>77165.109000000011</v>
      </c>
    </row>
    <row r="293" spans="1:8" ht="35.1" customHeight="1">
      <c r="A293" s="10"/>
      <c r="B293" s="171" t="s">
        <v>198</v>
      </c>
      <c r="C293" s="117">
        <f t="shared" ref="C293:H293" si="52">SUM(C257+C264+C276+C292)</f>
        <v>197672.60519999999</v>
      </c>
      <c r="D293" s="117">
        <f t="shared" si="52"/>
        <v>5435.6237250000004</v>
      </c>
      <c r="E293" s="117">
        <f t="shared" si="52"/>
        <v>0</v>
      </c>
      <c r="F293" s="133">
        <f t="shared" si="52"/>
        <v>3895</v>
      </c>
      <c r="G293" s="133">
        <f t="shared" si="52"/>
        <v>0</v>
      </c>
      <c r="H293" s="117">
        <f t="shared" si="52"/>
        <v>196131.98147500004</v>
      </c>
    </row>
    <row r="294" spans="1:8" ht="15" customHeight="1">
      <c r="A294" s="243"/>
      <c r="B294" s="243"/>
      <c r="C294" s="243"/>
      <c r="D294" s="243"/>
      <c r="E294" s="243"/>
      <c r="F294" s="244"/>
      <c r="G294" s="244"/>
      <c r="H294" s="243"/>
    </row>
    <row r="295" spans="1:8" ht="15" customHeight="1">
      <c r="A295" s="243"/>
      <c r="B295" s="243"/>
      <c r="C295" s="243"/>
      <c r="D295" s="243"/>
      <c r="E295" s="243"/>
      <c r="F295" s="244"/>
      <c r="G295" s="244"/>
      <c r="H295" s="243"/>
    </row>
    <row r="296" spans="1:8" ht="15" customHeight="1">
      <c r="A296" s="254"/>
      <c r="B296" s="254"/>
      <c r="C296" s="254"/>
      <c r="D296" s="254"/>
      <c r="E296" s="254"/>
      <c r="F296" s="255"/>
      <c r="G296" s="255"/>
      <c r="H296" s="254"/>
    </row>
    <row r="297" spans="1:8" ht="15" customHeight="1">
      <c r="A297" s="245"/>
      <c r="B297" s="245"/>
      <c r="C297" s="245"/>
      <c r="D297" s="245"/>
      <c r="E297" s="245"/>
      <c r="F297" s="246"/>
      <c r="G297" s="246"/>
      <c r="H297" s="245"/>
    </row>
    <row r="298" spans="1:8" ht="24.75" customHeight="1">
      <c r="A298" s="46" t="s">
        <v>3</v>
      </c>
      <c r="B298" s="46" t="s">
        <v>4</v>
      </c>
      <c r="C298" s="46" t="s">
        <v>5</v>
      </c>
      <c r="D298" s="46" t="s">
        <v>6</v>
      </c>
      <c r="E298" s="46" t="s">
        <v>7</v>
      </c>
      <c r="F298" s="71" t="s">
        <v>8</v>
      </c>
      <c r="G298" s="17" t="str">
        <f>G278</f>
        <v>COMPENSACIONES</v>
      </c>
      <c r="H298" s="46" t="s">
        <v>10</v>
      </c>
    </row>
    <row r="299" spans="1:8" ht="47.25" customHeight="1">
      <c r="A299" s="25" t="s">
        <v>199</v>
      </c>
      <c r="B299" s="25" t="s">
        <v>200</v>
      </c>
      <c r="C299" s="18">
        <f>7408*1.04*1.05*1.05</f>
        <v>8494.0128000000022</v>
      </c>
      <c r="D299" s="18">
        <f>336*1.04*1.05*1.05</f>
        <v>385.25760000000002</v>
      </c>
      <c r="E299" s="37"/>
      <c r="F299" s="29"/>
      <c r="G299" s="177"/>
      <c r="H299" s="37">
        <f>C299-D299+G299</f>
        <v>8108.7552000000023</v>
      </c>
    </row>
    <row r="300" spans="1:8" ht="47.25" customHeight="1">
      <c r="A300" s="24" t="s">
        <v>201</v>
      </c>
      <c r="B300" s="25" t="s">
        <v>200</v>
      </c>
      <c r="C300" s="18">
        <f>6690*1.05</f>
        <v>7024.5</v>
      </c>
      <c r="D300" s="18">
        <f>190*1.05</f>
        <v>199.5</v>
      </c>
      <c r="E300" s="37"/>
      <c r="F300" s="29"/>
      <c r="G300" s="177"/>
      <c r="H300" s="37">
        <f>C300-D300+G300</f>
        <v>6825</v>
      </c>
    </row>
    <row r="301" spans="1:8" s="30" customFormat="1" ht="48" customHeight="1">
      <c r="A301" s="25" t="s">
        <v>202</v>
      </c>
      <c r="B301" s="132" t="s">
        <v>116</v>
      </c>
      <c r="C301" s="18">
        <f>7215*1.05*1.05*1.05</f>
        <v>8352.2643750000007</v>
      </c>
      <c r="D301" s="18">
        <f>220*1.05*1.05*1.05</f>
        <v>254.67750000000001</v>
      </c>
      <c r="E301" s="37"/>
      <c r="F301" s="29"/>
      <c r="G301" s="177"/>
      <c r="H301" s="37">
        <f>C301-D301+E301+G301</f>
        <v>8097.5868750000009</v>
      </c>
    </row>
    <row r="302" spans="1:8" ht="27.75" customHeight="1">
      <c r="A302" s="159"/>
      <c r="B302" s="11" t="s">
        <v>23</v>
      </c>
      <c r="C302" s="38">
        <f>SUM(C299:C301)</f>
        <v>23870.777175000003</v>
      </c>
      <c r="D302" s="38">
        <f>SUM(D299:D301)</f>
        <v>839.43510000000003</v>
      </c>
      <c r="E302" s="38">
        <f>SUM(E299:E299)</f>
        <v>0</v>
      </c>
      <c r="F302" s="74">
        <f>SUM(F299:F299)</f>
        <v>0</v>
      </c>
      <c r="G302" s="74">
        <f>SUM(G299:G299)</f>
        <v>0</v>
      </c>
      <c r="H302" s="38">
        <f>SUM(H299:H301)</f>
        <v>23031.342075000004</v>
      </c>
    </row>
    <row r="303" spans="1:8" ht="18" customHeight="1">
      <c r="A303" s="243"/>
      <c r="B303" s="243"/>
      <c r="C303" s="243"/>
      <c r="D303" s="243"/>
      <c r="E303" s="243"/>
      <c r="F303" s="244"/>
      <c r="G303" s="244"/>
      <c r="H303" s="243"/>
    </row>
    <row r="304" spans="1:8" ht="17.25" customHeight="1">
      <c r="A304" s="243"/>
      <c r="B304" s="243"/>
      <c r="C304" s="243"/>
      <c r="D304" s="243"/>
      <c r="E304" s="243"/>
      <c r="F304" s="244"/>
      <c r="G304" s="244"/>
      <c r="H304" s="243"/>
    </row>
    <row r="305" spans="1:8" ht="17.25" customHeight="1">
      <c r="A305" s="254"/>
      <c r="B305" s="254"/>
      <c r="C305" s="254"/>
      <c r="D305" s="254"/>
      <c r="E305" s="254"/>
      <c r="F305" s="255"/>
      <c r="G305" s="255"/>
      <c r="H305" s="254"/>
    </row>
    <row r="306" spans="1:8" ht="21.75" customHeight="1">
      <c r="A306" s="260"/>
      <c r="B306" s="260"/>
      <c r="C306" s="260"/>
      <c r="D306" s="260"/>
      <c r="E306" s="260"/>
      <c r="F306" s="261"/>
      <c r="G306" s="261"/>
      <c r="H306" s="260"/>
    </row>
    <row r="307" spans="1:8" ht="26.25" customHeight="1">
      <c r="A307" s="46" t="s">
        <v>3</v>
      </c>
      <c r="B307" s="46" t="s">
        <v>4</v>
      </c>
      <c r="C307" s="46" t="s">
        <v>5</v>
      </c>
      <c r="D307" s="46" t="s">
        <v>6</v>
      </c>
      <c r="E307" s="46" t="s">
        <v>7</v>
      </c>
      <c r="F307" s="71" t="s">
        <v>8</v>
      </c>
      <c r="G307" s="17" t="str">
        <f>G298</f>
        <v>COMPENSACIONES</v>
      </c>
      <c r="H307" s="46" t="s">
        <v>10</v>
      </c>
    </row>
    <row r="308" spans="1:8" ht="26.25" customHeight="1">
      <c r="A308" s="174"/>
      <c r="B308" s="7"/>
      <c r="C308" s="37"/>
      <c r="D308" s="37"/>
      <c r="E308" s="37"/>
      <c r="F308" s="29"/>
      <c r="G308" s="145"/>
      <c r="H308" s="37">
        <f>C308-D308+E308</f>
        <v>0</v>
      </c>
    </row>
    <row r="309" spans="1:8" ht="25.5" customHeight="1">
      <c r="A309" s="159"/>
      <c r="B309" s="11" t="s">
        <v>23</v>
      </c>
      <c r="C309" s="38">
        <f>SUM(C308:C308)</f>
        <v>0</v>
      </c>
      <c r="D309" s="38">
        <f>SUM(D308:D308)</f>
        <v>0</v>
      </c>
      <c r="E309" s="38">
        <f>SUM(E308:E308)</f>
        <v>0</v>
      </c>
      <c r="F309" s="74">
        <f t="shared" ref="F309:H309" si="53">SUM(F308:F308)</f>
        <v>0</v>
      </c>
      <c r="G309" s="74">
        <f t="shared" si="53"/>
        <v>0</v>
      </c>
      <c r="H309" s="38">
        <f t="shared" si="53"/>
        <v>0</v>
      </c>
    </row>
    <row r="310" spans="1:8" ht="15" customHeight="1">
      <c r="A310" s="243"/>
      <c r="B310" s="243"/>
      <c r="C310" s="243"/>
      <c r="D310" s="243"/>
      <c r="E310" s="243"/>
      <c r="F310" s="244"/>
      <c r="G310" s="244"/>
      <c r="H310" s="243"/>
    </row>
    <row r="311" spans="1:8" ht="17.25" customHeight="1">
      <c r="A311" s="243"/>
      <c r="B311" s="243"/>
      <c r="C311" s="243"/>
      <c r="D311" s="243"/>
      <c r="E311" s="243"/>
      <c r="F311" s="244"/>
      <c r="G311" s="244"/>
      <c r="H311" s="243"/>
    </row>
    <row r="312" spans="1:8" ht="15" customHeight="1">
      <c r="A312" s="254"/>
      <c r="B312" s="254"/>
      <c r="C312" s="254"/>
      <c r="D312" s="254"/>
      <c r="E312" s="254"/>
      <c r="F312" s="255"/>
      <c r="G312" s="255"/>
      <c r="H312" s="254"/>
    </row>
    <row r="313" spans="1:8" ht="15" customHeight="1">
      <c r="A313" s="245"/>
      <c r="B313" s="245"/>
      <c r="C313" s="245"/>
      <c r="D313" s="245"/>
      <c r="E313" s="245"/>
      <c r="F313" s="246"/>
      <c r="G313" s="246"/>
      <c r="H313" s="245"/>
    </row>
    <row r="314" spans="1:8" ht="24.75" customHeight="1">
      <c r="A314" s="46" t="s">
        <v>3</v>
      </c>
      <c r="B314" s="46" t="s">
        <v>4</v>
      </c>
      <c r="C314" s="46" t="s">
        <v>5</v>
      </c>
      <c r="D314" s="46" t="s">
        <v>6</v>
      </c>
      <c r="E314" s="46" t="s">
        <v>7</v>
      </c>
      <c r="F314" s="71" t="s">
        <v>8</v>
      </c>
      <c r="G314" s="17" t="str">
        <f>G307</f>
        <v>COMPENSACIONES</v>
      </c>
      <c r="H314" s="46" t="s">
        <v>10</v>
      </c>
    </row>
    <row r="315" spans="1:8" s="31" customFormat="1" ht="45" customHeight="1">
      <c r="A315" s="175" t="s">
        <v>203</v>
      </c>
      <c r="B315" s="42" t="s">
        <v>52</v>
      </c>
      <c r="C315" s="176">
        <f>7028.8*1.05*1.05</f>
        <v>7749.2520000000013</v>
      </c>
      <c r="D315" s="176">
        <f>220*1.04*1.05*1.05</f>
        <v>252.25200000000001</v>
      </c>
      <c r="E315" s="49"/>
      <c r="F315" s="77"/>
      <c r="G315" s="77"/>
      <c r="H315" s="49">
        <f>C315-D315+G315</f>
        <v>7497.0000000000009</v>
      </c>
    </row>
    <row r="316" spans="1:8" s="31" customFormat="1" ht="51" customHeight="1">
      <c r="A316" s="125" t="s">
        <v>204</v>
      </c>
      <c r="B316" s="118" t="s">
        <v>205</v>
      </c>
      <c r="C316" s="176">
        <f>10038*1.04*1.05*1.05</f>
        <v>11509.570800000001</v>
      </c>
      <c r="D316" s="176">
        <f>441*1.04*1.05*1.05</f>
        <v>505.65060000000011</v>
      </c>
      <c r="E316" s="49"/>
      <c r="F316" s="77"/>
      <c r="G316" s="77"/>
      <c r="H316" s="49">
        <f>C316-D316+E316+G316</f>
        <v>11003.9202</v>
      </c>
    </row>
    <row r="317" spans="1:8" ht="51" customHeight="1">
      <c r="A317" s="5" t="s">
        <v>206</v>
      </c>
      <c r="B317" s="6" t="s">
        <v>207</v>
      </c>
      <c r="C317" s="18">
        <f>5800*1.04*1.05*1.05</f>
        <v>6650.2800000000007</v>
      </c>
      <c r="D317" s="18">
        <f>175*1.04*1.05*1.05</f>
        <v>200.655</v>
      </c>
      <c r="E317" s="37"/>
      <c r="F317" s="29"/>
      <c r="G317" s="73"/>
      <c r="H317" s="37">
        <f t="shared" ref="H317:H326" si="54">C317-D317+E317+G317</f>
        <v>6449.6250000000009</v>
      </c>
    </row>
    <row r="318" spans="1:8" s="32" customFormat="1" ht="58.5" customHeight="1">
      <c r="A318" s="5" t="s">
        <v>208</v>
      </c>
      <c r="B318" s="6" t="s">
        <v>209</v>
      </c>
      <c r="C318" s="18">
        <f>5953*1.04*1.05*1.05</f>
        <v>6825.7098000000005</v>
      </c>
      <c r="D318" s="18">
        <f>183*1.04*1.05*1.05</f>
        <v>209.82780000000002</v>
      </c>
      <c r="E318" s="37"/>
      <c r="F318" s="29"/>
      <c r="G318" s="73"/>
      <c r="H318" s="37">
        <f t="shared" si="54"/>
        <v>6615.8820000000005</v>
      </c>
    </row>
    <row r="319" spans="1:8" ht="61.5" customHeight="1">
      <c r="A319" s="25" t="s">
        <v>210</v>
      </c>
      <c r="B319" s="25" t="s">
        <v>211</v>
      </c>
      <c r="C319" s="18">
        <f>3864*1.05*1.05*1.05</f>
        <v>4473.063000000001</v>
      </c>
      <c r="D319" s="179"/>
      <c r="E319" s="37">
        <v>136</v>
      </c>
      <c r="F319" s="29"/>
      <c r="G319" s="73"/>
      <c r="H319" s="37">
        <f t="shared" si="54"/>
        <v>4609.063000000001</v>
      </c>
    </row>
    <row r="320" spans="1:8" ht="45" customHeight="1">
      <c r="A320" s="6" t="s">
        <v>212</v>
      </c>
      <c r="B320" s="6" t="s">
        <v>211</v>
      </c>
      <c r="C320" s="18">
        <f>2693*1.05*1.05*1.05</f>
        <v>3117.4841250000004</v>
      </c>
      <c r="D320" s="18"/>
      <c r="E320" s="37">
        <v>105</v>
      </c>
      <c r="F320" s="29"/>
      <c r="G320" s="73"/>
      <c r="H320" s="37">
        <f t="shared" si="54"/>
        <v>3222.4841250000004</v>
      </c>
    </row>
    <row r="321" spans="1:8" ht="68.25" customHeight="1">
      <c r="A321" s="6" t="s">
        <v>213</v>
      </c>
      <c r="B321" s="25" t="s">
        <v>214</v>
      </c>
      <c r="C321" s="18">
        <f>5478*1.04*1.05*1.05</f>
        <v>6281.0748000000012</v>
      </c>
      <c r="D321" s="186">
        <f>102.96*1.05*1.05</f>
        <v>113.5134</v>
      </c>
      <c r="E321" s="37"/>
      <c r="F321" s="29"/>
      <c r="G321" s="73"/>
      <c r="H321" s="37">
        <f t="shared" si="54"/>
        <v>6167.5614000000014</v>
      </c>
    </row>
    <row r="322" spans="1:8" ht="62.25" customHeight="1">
      <c r="A322" s="25" t="s">
        <v>215</v>
      </c>
      <c r="B322" s="25" t="s">
        <v>216</v>
      </c>
      <c r="C322" s="18">
        <f>8268*1.04*1.05*1.05</f>
        <v>9480.0888000000014</v>
      </c>
      <c r="D322" s="18">
        <f>367*1.04*1.05*1.05</f>
        <v>420.80220000000003</v>
      </c>
      <c r="E322" s="37"/>
      <c r="F322" s="29"/>
      <c r="G322" s="73"/>
      <c r="H322" s="37">
        <f t="shared" si="54"/>
        <v>9059.2866000000013</v>
      </c>
    </row>
    <row r="323" spans="1:8" ht="63" customHeight="1">
      <c r="A323" s="25" t="s">
        <v>217</v>
      </c>
      <c r="B323" s="25" t="s">
        <v>218</v>
      </c>
      <c r="C323" s="18">
        <f>4006*1.05*1.05*1.05</f>
        <v>4637.4457500000008</v>
      </c>
      <c r="D323" s="18"/>
      <c r="E323" s="37">
        <v>90</v>
      </c>
      <c r="G323" s="73"/>
      <c r="H323" s="37">
        <f t="shared" si="54"/>
        <v>4727.4457500000008</v>
      </c>
    </row>
    <row r="324" spans="1:8" ht="63" customHeight="1">
      <c r="A324" s="25" t="s">
        <v>219</v>
      </c>
      <c r="B324" s="25" t="s">
        <v>220</v>
      </c>
      <c r="C324" s="18">
        <f>3910*1.05</f>
        <v>4105.5</v>
      </c>
      <c r="D324" s="18"/>
      <c r="E324" s="37">
        <v>90</v>
      </c>
      <c r="G324" s="73"/>
      <c r="H324" s="37">
        <f t="shared" si="54"/>
        <v>4195.5</v>
      </c>
    </row>
    <row r="325" spans="1:8" ht="63" customHeight="1">
      <c r="A325" s="25" t="s">
        <v>221</v>
      </c>
      <c r="B325" s="25" t="s">
        <v>220</v>
      </c>
      <c r="C325" s="18">
        <f>4191.93*1.05</f>
        <v>4401.5265000000009</v>
      </c>
      <c r="D325" s="18"/>
      <c r="E325" s="37">
        <v>90</v>
      </c>
      <c r="G325" s="73"/>
      <c r="H325" s="37">
        <f t="shared" si="54"/>
        <v>4491.5265000000009</v>
      </c>
    </row>
    <row r="326" spans="1:8" ht="66.75" customHeight="1">
      <c r="A326" s="25" t="s">
        <v>222</v>
      </c>
      <c r="B326" s="25" t="s">
        <v>220</v>
      </c>
      <c r="C326" s="18">
        <f>4065.43*1.05</f>
        <v>4268.7015000000001</v>
      </c>
      <c r="D326" s="18"/>
      <c r="E326" s="37">
        <v>90</v>
      </c>
      <c r="G326" s="73"/>
      <c r="H326" s="37">
        <f t="shared" si="54"/>
        <v>4358.7015000000001</v>
      </c>
    </row>
    <row r="327" spans="1:8" ht="63" customHeight="1">
      <c r="A327" s="6" t="s">
        <v>223</v>
      </c>
      <c r="B327" s="25" t="s">
        <v>218</v>
      </c>
      <c r="C327" s="18">
        <f>3370*1.05*1.05*1.05</f>
        <v>3901.1962500000004</v>
      </c>
      <c r="D327" s="18"/>
      <c r="E327" s="37">
        <v>90</v>
      </c>
      <c r="G327" s="73"/>
      <c r="H327" s="37">
        <f t="shared" ref="H327" si="55">C327-D327+E327+G327</f>
        <v>3991.1962500000004</v>
      </c>
    </row>
    <row r="328" spans="1:8" ht="32.25" customHeight="1">
      <c r="A328" s="51"/>
      <c r="B328" s="64" t="s">
        <v>48</v>
      </c>
      <c r="C328" s="38">
        <f>SUM(C315:C327)</f>
        <v>77400.893324999997</v>
      </c>
      <c r="D328" s="38">
        <f t="shared" ref="D328:H328" si="56">SUM(D315:D327)</f>
        <v>1702.7010000000002</v>
      </c>
      <c r="E328" s="38">
        <f t="shared" si="56"/>
        <v>691</v>
      </c>
      <c r="F328" s="74">
        <f t="shared" si="56"/>
        <v>0</v>
      </c>
      <c r="G328" s="74">
        <f t="shared" si="56"/>
        <v>0</v>
      </c>
      <c r="H328" s="38">
        <f t="shared" si="56"/>
        <v>76389.192324999996</v>
      </c>
    </row>
    <row r="329" spans="1:8" ht="15" customHeight="1">
      <c r="A329" s="256"/>
      <c r="B329" s="256"/>
      <c r="C329" s="256"/>
      <c r="D329" s="256"/>
      <c r="E329" s="256"/>
      <c r="F329" s="257"/>
      <c r="G329" s="257"/>
      <c r="H329" s="256"/>
    </row>
    <row r="330" spans="1:8" ht="24.75" customHeight="1">
      <c r="A330" s="46" t="s">
        <v>3</v>
      </c>
      <c r="B330" s="46" t="s">
        <v>4</v>
      </c>
      <c r="C330" s="46" t="s">
        <v>5</v>
      </c>
      <c r="D330" s="46" t="s">
        <v>6</v>
      </c>
      <c r="E330" s="46" t="s">
        <v>7</v>
      </c>
      <c r="F330" s="71" t="s">
        <v>8</v>
      </c>
      <c r="G330" s="17" t="str">
        <f>G314</f>
        <v>COMPENSACIONES</v>
      </c>
      <c r="H330" s="46" t="s">
        <v>10</v>
      </c>
    </row>
    <row r="332" spans="1:8" ht="55.5" customHeight="1">
      <c r="A332" s="25" t="s">
        <v>224</v>
      </c>
      <c r="B332" s="25" t="s">
        <v>225</v>
      </c>
      <c r="C332" s="83">
        <f>6405*1.04*1.05*1.05</f>
        <v>7343.9730000000009</v>
      </c>
      <c r="D332" s="83">
        <f>183*1.04*1.05*1.05</f>
        <v>209.82780000000002</v>
      </c>
      <c r="E332" s="113"/>
      <c r="F332" s="114"/>
      <c r="G332" s="110"/>
      <c r="H332" s="113">
        <f>C332-D332+G332</f>
        <v>7134.1452000000008</v>
      </c>
    </row>
    <row r="333" spans="1:8" ht="25.5" customHeight="1">
      <c r="A333" s="181"/>
      <c r="B333" s="182" t="s">
        <v>48</v>
      </c>
      <c r="C333" s="183">
        <f t="shared" ref="C333:H333" si="57">SUM(C332)</f>
        <v>7343.9730000000009</v>
      </c>
      <c r="D333" s="183">
        <f t="shared" si="57"/>
        <v>209.82780000000002</v>
      </c>
      <c r="E333" s="183">
        <f t="shared" si="57"/>
        <v>0</v>
      </c>
      <c r="F333" s="187">
        <f t="shared" si="57"/>
        <v>0</v>
      </c>
      <c r="G333" s="187">
        <f t="shared" si="57"/>
        <v>0</v>
      </c>
      <c r="H333" s="183">
        <f t="shared" si="57"/>
        <v>7134.1452000000008</v>
      </c>
    </row>
    <row r="334" spans="1:8" ht="15" customHeight="1">
      <c r="A334" s="256"/>
      <c r="B334" s="256"/>
      <c r="C334" s="256"/>
      <c r="D334" s="256"/>
      <c r="E334" s="256"/>
      <c r="F334" s="257"/>
      <c r="G334" s="257"/>
      <c r="H334" s="256"/>
    </row>
    <row r="335" spans="1:8" ht="24.75" customHeight="1">
      <c r="A335" s="46" t="s">
        <v>3</v>
      </c>
      <c r="B335" s="46" t="s">
        <v>4</v>
      </c>
      <c r="C335" s="46" t="s">
        <v>5</v>
      </c>
      <c r="D335" s="46" t="s">
        <v>6</v>
      </c>
      <c r="E335" s="46" t="s">
        <v>7</v>
      </c>
      <c r="F335" s="71" t="s">
        <v>8</v>
      </c>
      <c r="G335" s="17" t="str">
        <f>G314</f>
        <v>COMPENSACIONES</v>
      </c>
      <c r="H335" s="46" t="s">
        <v>10</v>
      </c>
    </row>
    <row r="336" spans="1:8" ht="51" customHeight="1">
      <c r="A336" s="25" t="s">
        <v>226</v>
      </c>
      <c r="B336" s="25" t="s">
        <v>227</v>
      </c>
      <c r="C336" s="18">
        <f>6592*1.04*1.05*1.05</f>
        <v>7558.387200000001</v>
      </c>
      <c r="D336" s="18">
        <f>220*1.04*1.05*1.05</f>
        <v>252.25200000000001</v>
      </c>
      <c r="E336" s="37"/>
      <c r="F336" s="29"/>
      <c r="G336" s="73"/>
      <c r="H336" s="37">
        <f t="shared" ref="H336:H342" si="58">C336-D336+E336+G336</f>
        <v>7306.1352000000006</v>
      </c>
    </row>
    <row r="337" spans="1:8" ht="51" customHeight="1">
      <c r="A337" s="24" t="s">
        <v>228</v>
      </c>
      <c r="B337" s="184" t="s">
        <v>58</v>
      </c>
      <c r="C337" s="18">
        <f>6700.72*1.05*1.05</f>
        <v>7387.5438000000004</v>
      </c>
      <c r="D337" s="18">
        <f>192.15*1.05*1.05</f>
        <v>211.84537500000002</v>
      </c>
      <c r="E337" s="18">
        <v>183</v>
      </c>
      <c r="F337" s="19"/>
      <c r="G337" s="73"/>
      <c r="H337" s="18">
        <f t="shared" si="58"/>
        <v>7358.6984250000005</v>
      </c>
    </row>
    <row r="338" spans="1:8" ht="51" customHeight="1">
      <c r="A338" s="25" t="s">
        <v>229</v>
      </c>
      <c r="B338" s="4" t="s">
        <v>230</v>
      </c>
      <c r="C338" s="18">
        <f>5853*1.04*1.05*1.05</f>
        <v>6711.0498000000007</v>
      </c>
      <c r="D338" s="18">
        <f>183*1.04*1.05*1.05</f>
        <v>209.82780000000002</v>
      </c>
      <c r="E338" s="37"/>
      <c r="F338" s="29"/>
      <c r="G338" s="73"/>
      <c r="H338" s="37">
        <f t="shared" si="58"/>
        <v>6501.2220000000007</v>
      </c>
    </row>
    <row r="339" spans="1:8" ht="51" customHeight="1">
      <c r="A339" s="25" t="s">
        <v>231</v>
      </c>
      <c r="B339" s="4" t="s">
        <v>230</v>
      </c>
      <c r="C339" s="18">
        <f>4977*1.04*1.05*1.05</f>
        <v>5706.6282000000001</v>
      </c>
      <c r="D339" s="18"/>
      <c r="E339" s="37">
        <v>90</v>
      </c>
      <c r="F339" s="29"/>
      <c r="G339" s="73"/>
      <c r="H339" s="37">
        <f t="shared" si="58"/>
        <v>5796.6282000000001</v>
      </c>
    </row>
    <row r="340" spans="1:8" ht="51" customHeight="1">
      <c r="A340" s="25" t="s">
        <v>232</v>
      </c>
      <c r="B340" s="4" t="s">
        <v>230</v>
      </c>
      <c r="C340" s="18">
        <f>4977*1.04*1.05*1.05</f>
        <v>5706.6282000000001</v>
      </c>
      <c r="D340" s="18"/>
      <c r="E340" s="37">
        <v>90</v>
      </c>
      <c r="F340" s="29"/>
      <c r="G340" s="73"/>
      <c r="H340" s="37">
        <f t="shared" si="58"/>
        <v>5796.6282000000001</v>
      </c>
    </row>
    <row r="341" spans="1:8" ht="51" customHeight="1">
      <c r="A341" s="6" t="s">
        <v>233</v>
      </c>
      <c r="B341" s="7" t="s">
        <v>230</v>
      </c>
      <c r="C341" s="18">
        <f>3709*1.04*1.05*1.05</f>
        <v>4252.7394000000004</v>
      </c>
      <c r="D341" s="18"/>
      <c r="E341" s="37">
        <v>95</v>
      </c>
      <c r="F341" s="29"/>
      <c r="G341" s="73"/>
      <c r="H341" s="37">
        <f t="shared" si="58"/>
        <v>4347.7394000000004</v>
      </c>
    </row>
    <row r="342" spans="1:8" ht="51" customHeight="1">
      <c r="A342" s="6" t="s">
        <v>234</v>
      </c>
      <c r="B342" s="7" t="s">
        <v>235</v>
      </c>
      <c r="C342" s="18">
        <f>4977*1.04*1.05*1.05</f>
        <v>5706.6282000000001</v>
      </c>
      <c r="D342" s="18"/>
      <c r="E342" s="37">
        <v>90</v>
      </c>
      <c r="F342" s="29"/>
      <c r="G342" s="73"/>
      <c r="H342" s="37">
        <f t="shared" si="58"/>
        <v>5796.6282000000001</v>
      </c>
    </row>
    <row r="343" spans="1:8" ht="25.5" customHeight="1">
      <c r="A343" s="51"/>
      <c r="B343" s="64" t="s">
        <v>48</v>
      </c>
      <c r="C343" s="38">
        <f t="shared" ref="C343:H343" si="59">SUM(C336:C342)</f>
        <v>43029.604800000001</v>
      </c>
      <c r="D343" s="38">
        <f t="shared" si="59"/>
        <v>673.92517500000008</v>
      </c>
      <c r="E343" s="38">
        <f t="shared" si="59"/>
        <v>548</v>
      </c>
      <c r="F343" s="74">
        <f t="shared" si="59"/>
        <v>0</v>
      </c>
      <c r="G343" s="74">
        <f t="shared" si="59"/>
        <v>0</v>
      </c>
      <c r="H343" s="38">
        <f t="shared" si="59"/>
        <v>42903.679624999997</v>
      </c>
    </row>
    <row r="344" spans="1:8" ht="15" customHeight="1">
      <c r="A344" s="256"/>
      <c r="B344" s="256"/>
      <c r="C344" s="256"/>
      <c r="D344" s="256"/>
      <c r="E344" s="256"/>
      <c r="F344" s="257"/>
      <c r="G344" s="257"/>
      <c r="H344" s="256"/>
    </row>
    <row r="345" spans="1:8" ht="24.75" customHeight="1">
      <c r="A345" s="46" t="s">
        <v>3</v>
      </c>
      <c r="B345" s="46" t="s">
        <v>4</v>
      </c>
      <c r="C345" s="46" t="s">
        <v>5</v>
      </c>
      <c r="D345" s="46" t="s">
        <v>6</v>
      </c>
      <c r="E345" s="46" t="s">
        <v>7</v>
      </c>
      <c r="F345" s="71" t="s">
        <v>8</v>
      </c>
      <c r="G345" s="17" t="str">
        <f>G335</f>
        <v>COMPENSACIONES</v>
      </c>
      <c r="H345" s="46" t="s">
        <v>10</v>
      </c>
    </row>
    <row r="346" spans="1:8" ht="40.5" customHeight="1">
      <c r="A346" s="25" t="s">
        <v>236</v>
      </c>
      <c r="B346" s="25" t="s">
        <v>237</v>
      </c>
      <c r="C346" s="18">
        <f>5936*1.04*1.05*1.05</f>
        <v>6806.2176000000018</v>
      </c>
      <c r="D346" s="18">
        <f>183*1.04*1.05*1.05</f>
        <v>209.82780000000002</v>
      </c>
      <c r="E346" s="72"/>
      <c r="F346" s="28"/>
      <c r="G346" s="73"/>
      <c r="H346" s="37">
        <f>C346-D346+E346+G346</f>
        <v>6596.3898000000017</v>
      </c>
    </row>
    <row r="347" spans="1:8" ht="45.95" customHeight="1">
      <c r="A347" s="25" t="s">
        <v>238</v>
      </c>
      <c r="B347" s="25" t="s">
        <v>239</v>
      </c>
      <c r="C347" s="18">
        <f>4756*1.04*1.05*1.05</f>
        <v>5453.2295999999997</v>
      </c>
      <c r="D347" s="18">
        <f>183*1.05*1.05</f>
        <v>201.75750000000002</v>
      </c>
      <c r="E347" s="37">
        <v>90</v>
      </c>
      <c r="F347" s="29"/>
      <c r="G347" s="73"/>
      <c r="H347" s="37">
        <f t="shared" ref="H347:H348" si="60">C347-D347+E347+G347</f>
        <v>5341.4721</v>
      </c>
    </row>
    <row r="348" spans="1:8" ht="40.5" customHeight="1">
      <c r="A348" s="25" t="s">
        <v>240</v>
      </c>
      <c r="B348" s="4" t="s">
        <v>241</v>
      </c>
      <c r="C348" s="18">
        <f>4067*1.04*1.05*1.05</f>
        <v>4663.2222000000011</v>
      </c>
      <c r="D348" s="18"/>
      <c r="E348" s="37">
        <v>110</v>
      </c>
      <c r="F348" s="29"/>
      <c r="G348" s="73"/>
      <c r="H348" s="37">
        <f t="shared" si="60"/>
        <v>4773.2222000000011</v>
      </c>
    </row>
    <row r="349" spans="1:8" ht="25.5" customHeight="1">
      <c r="A349" s="51"/>
      <c r="B349" s="64" t="s">
        <v>48</v>
      </c>
      <c r="C349" s="38">
        <f>SUM(C346:C348)</f>
        <v>16922.669400000002</v>
      </c>
      <c r="D349" s="38">
        <f t="shared" ref="D349:H349" si="61">SUM(D346:D348)</f>
        <v>411.58530000000007</v>
      </c>
      <c r="E349" s="38">
        <f t="shared" si="61"/>
        <v>200</v>
      </c>
      <c r="F349" s="74">
        <f t="shared" si="61"/>
        <v>0</v>
      </c>
      <c r="G349" s="74">
        <f t="shared" si="61"/>
        <v>0</v>
      </c>
      <c r="H349" s="38">
        <f t="shared" si="61"/>
        <v>16711.084100000004</v>
      </c>
    </row>
    <row r="350" spans="1:8" ht="15" customHeight="1">
      <c r="A350" s="258"/>
      <c r="B350" s="258"/>
      <c r="C350" s="258"/>
      <c r="D350" s="258"/>
      <c r="E350" s="258"/>
      <c r="F350" s="259"/>
      <c r="G350" s="259"/>
      <c r="H350" s="258"/>
    </row>
    <row r="351" spans="1:8" ht="24.75" customHeight="1">
      <c r="A351" s="46" t="s">
        <v>3</v>
      </c>
      <c r="B351" s="46" t="s">
        <v>4</v>
      </c>
      <c r="C351" s="46" t="s">
        <v>5</v>
      </c>
      <c r="D351" s="46" t="s">
        <v>6</v>
      </c>
      <c r="E351" s="46" t="s">
        <v>7</v>
      </c>
      <c r="F351" s="71" t="s">
        <v>8</v>
      </c>
      <c r="G351" s="17" t="str">
        <f>G345</f>
        <v>COMPENSACIONES</v>
      </c>
      <c r="H351" s="46" t="s">
        <v>10</v>
      </c>
    </row>
    <row r="352" spans="1:8" ht="50.1" customHeight="1">
      <c r="A352" s="6" t="s">
        <v>242</v>
      </c>
      <c r="B352" s="4" t="s">
        <v>243</v>
      </c>
      <c r="C352" s="18">
        <f>4410*1.05*1.05*1.05</f>
        <v>5105.1262500000012</v>
      </c>
      <c r="D352" s="18"/>
      <c r="E352" s="37">
        <v>90</v>
      </c>
      <c r="F352" s="29"/>
      <c r="G352" s="73"/>
      <c r="H352" s="37">
        <f>C352-D352+E352+G352</f>
        <v>5195.1262500000012</v>
      </c>
    </row>
    <row r="353" spans="1:8" ht="50.1" customHeight="1">
      <c r="A353" s="6" t="s">
        <v>245</v>
      </c>
      <c r="B353" s="4" t="s">
        <v>243</v>
      </c>
      <c r="C353" s="18">
        <f>4866*1.05*1.05</f>
        <v>5364.7650000000003</v>
      </c>
      <c r="D353" s="18"/>
      <c r="E353" s="37">
        <v>90</v>
      </c>
      <c r="F353" s="29"/>
      <c r="G353" s="73"/>
      <c r="H353" s="37">
        <f t="shared" ref="H353:H368" si="62">C353-D353+E353+G353</f>
        <v>5454.7650000000003</v>
      </c>
    </row>
    <row r="354" spans="1:8" ht="50.1" customHeight="1">
      <c r="A354" s="6" t="s">
        <v>246</v>
      </c>
      <c r="B354" s="4" t="s">
        <v>116</v>
      </c>
      <c r="C354" s="18">
        <f>'[2]MADRE BANCO'!$G$273</f>
        <v>5099.9265349999996</v>
      </c>
      <c r="D354" s="18"/>
      <c r="E354" s="37">
        <v>90</v>
      </c>
      <c r="F354" s="29"/>
      <c r="G354" s="73"/>
      <c r="H354" s="37">
        <f t="shared" si="62"/>
        <v>5189.9265349999996</v>
      </c>
    </row>
    <row r="355" spans="1:8" ht="37.5" customHeight="1">
      <c r="A355" s="6" t="s">
        <v>247</v>
      </c>
      <c r="B355" s="4" t="s">
        <v>243</v>
      </c>
      <c r="C355" s="18">
        <f>4415*1.05*1.05*1.05</f>
        <v>5110.9143750000003</v>
      </c>
      <c r="D355" s="18"/>
      <c r="E355" s="37">
        <v>90</v>
      </c>
      <c r="F355" s="29"/>
      <c r="G355" s="73"/>
      <c r="H355" s="37">
        <f t="shared" si="62"/>
        <v>5200.9143750000003</v>
      </c>
    </row>
    <row r="356" spans="1:8" ht="50.1" customHeight="1">
      <c r="A356" s="6" t="s">
        <v>248</v>
      </c>
      <c r="B356" s="4" t="s">
        <v>243</v>
      </c>
      <c r="C356" s="18">
        <f>4635.75*1.05*1.05</f>
        <v>5110.9143750000003</v>
      </c>
      <c r="D356" s="18"/>
      <c r="E356" s="37">
        <v>90</v>
      </c>
      <c r="F356" s="29"/>
      <c r="G356" s="73"/>
      <c r="H356" s="37">
        <f t="shared" si="62"/>
        <v>5200.9143750000003</v>
      </c>
    </row>
    <row r="357" spans="1:8" ht="50.1" customHeight="1">
      <c r="A357" s="25" t="s">
        <v>249</v>
      </c>
      <c r="B357" s="4" t="s">
        <v>243</v>
      </c>
      <c r="C357" s="18">
        <f>4635.75*1.05*1.05</f>
        <v>5110.9143750000003</v>
      </c>
      <c r="D357" s="18"/>
      <c r="E357" s="37">
        <v>90</v>
      </c>
      <c r="F357" s="29"/>
      <c r="G357" s="73"/>
      <c r="H357" s="37">
        <f t="shared" si="62"/>
        <v>5200.9143750000003</v>
      </c>
    </row>
    <row r="358" spans="1:8" ht="50.1" customHeight="1">
      <c r="A358" s="25" t="s">
        <v>250</v>
      </c>
      <c r="B358" s="4" t="s">
        <v>243</v>
      </c>
      <c r="C358" s="18">
        <f>3351*1.05*1.05*1.05</f>
        <v>3879.2013750000006</v>
      </c>
      <c r="D358" s="18"/>
      <c r="E358" s="37">
        <v>165</v>
      </c>
      <c r="F358" s="29"/>
      <c r="G358" s="73"/>
      <c r="H358" s="37">
        <f t="shared" si="62"/>
        <v>4044.2013750000006</v>
      </c>
    </row>
    <row r="359" spans="1:8" ht="50.1" customHeight="1">
      <c r="A359" s="25" t="s">
        <v>251</v>
      </c>
      <c r="B359" s="25" t="s">
        <v>252</v>
      </c>
      <c r="C359" s="18">
        <f>4707*1.05*1.05*1.05</f>
        <v>5448.9408750000011</v>
      </c>
      <c r="D359" s="18"/>
      <c r="E359" s="37">
        <v>90</v>
      </c>
      <c r="F359" s="29"/>
      <c r="G359" s="73"/>
      <c r="H359" s="37">
        <f t="shared" si="62"/>
        <v>5538.9408750000011</v>
      </c>
    </row>
    <row r="360" spans="1:8" ht="50.1" customHeight="1">
      <c r="A360" s="25" t="s">
        <v>253</v>
      </c>
      <c r="B360" s="25" t="s">
        <v>254</v>
      </c>
      <c r="C360" s="185">
        <f>2000*1.05*1.05*1.05</f>
        <v>2315.25</v>
      </c>
      <c r="D360" s="185"/>
      <c r="E360" s="37">
        <v>165</v>
      </c>
      <c r="F360" s="29"/>
      <c r="G360" s="73"/>
      <c r="H360" s="37">
        <f t="shared" si="62"/>
        <v>2480.25</v>
      </c>
    </row>
    <row r="361" spans="1:8" ht="50.1" customHeight="1">
      <c r="A361" s="6" t="s">
        <v>255</v>
      </c>
      <c r="B361" s="6" t="s">
        <v>243</v>
      </c>
      <c r="C361" s="18">
        <f>4200*1.05*1.05</f>
        <v>4630.5</v>
      </c>
      <c r="D361" s="18"/>
      <c r="E361" s="37">
        <v>111</v>
      </c>
      <c r="F361" s="29"/>
      <c r="G361" s="73"/>
      <c r="H361" s="37">
        <f t="shared" si="62"/>
        <v>4741.5</v>
      </c>
    </row>
    <row r="362" spans="1:8" ht="50.1" customHeight="1">
      <c r="A362" s="25" t="s">
        <v>256</v>
      </c>
      <c r="B362" s="4" t="s">
        <v>116</v>
      </c>
      <c r="C362" s="18">
        <f>4942*1.05*1.05</f>
        <v>5448.5550000000003</v>
      </c>
      <c r="D362" s="18"/>
      <c r="E362" s="37">
        <f>E357</f>
        <v>90</v>
      </c>
      <c r="F362" s="29"/>
      <c r="G362" s="73"/>
      <c r="H362" s="37">
        <f t="shared" si="62"/>
        <v>5538.5550000000003</v>
      </c>
    </row>
    <row r="363" spans="1:8" ht="50.1" customHeight="1">
      <c r="A363" s="6" t="s">
        <v>257</v>
      </c>
      <c r="B363" s="6" t="s">
        <v>258</v>
      </c>
      <c r="C363" s="18">
        <f>6019*1.05*1.05*1.05</f>
        <v>6967.7448750000003</v>
      </c>
      <c r="D363" s="18">
        <f>183*1.05*1.05*1.05</f>
        <v>211.84537500000002</v>
      </c>
      <c r="E363" s="37"/>
      <c r="F363" s="29"/>
      <c r="G363" s="73"/>
      <c r="H363" s="37">
        <f t="shared" si="62"/>
        <v>6755.8995000000004</v>
      </c>
    </row>
    <row r="364" spans="1:8" ht="50.1" customHeight="1">
      <c r="A364" s="6" t="s">
        <v>259</v>
      </c>
      <c r="B364" s="6" t="s">
        <v>218</v>
      </c>
      <c r="C364" s="18">
        <f>4415*1.05*1.05*1.05</f>
        <v>5110.9143750000003</v>
      </c>
      <c r="D364" s="18"/>
      <c r="E364" s="37">
        <v>90</v>
      </c>
      <c r="F364" s="29"/>
      <c r="G364" s="73"/>
      <c r="H364" s="37">
        <f t="shared" si="62"/>
        <v>5200.9143750000003</v>
      </c>
    </row>
    <row r="365" spans="1:8" ht="50.1" customHeight="1">
      <c r="A365" s="25" t="s">
        <v>260</v>
      </c>
      <c r="B365" s="132" t="s">
        <v>123</v>
      </c>
      <c r="C365" s="18">
        <f>4415*1.05*1.05*1.05</f>
        <v>5110.9143750000003</v>
      </c>
      <c r="D365" s="18"/>
      <c r="E365" s="37">
        <v>90</v>
      </c>
      <c r="F365" s="29"/>
      <c r="G365" s="73"/>
      <c r="H365" s="37">
        <f t="shared" si="62"/>
        <v>5200.9143750000003</v>
      </c>
    </row>
    <row r="366" spans="1:8" ht="50.1" customHeight="1">
      <c r="A366" s="25" t="s">
        <v>261</v>
      </c>
      <c r="B366" s="132" t="s">
        <v>262</v>
      </c>
      <c r="C366" s="18">
        <f>3891.5*1.05</f>
        <v>4086.0750000000003</v>
      </c>
      <c r="D366" s="18"/>
      <c r="E366" s="37">
        <v>95</v>
      </c>
      <c r="F366" s="29"/>
      <c r="G366" s="73"/>
      <c r="H366" s="37">
        <f t="shared" si="62"/>
        <v>4181.0750000000007</v>
      </c>
    </row>
    <row r="367" spans="1:8" ht="50.1" customHeight="1">
      <c r="A367" s="25" t="s">
        <v>263</v>
      </c>
      <c r="B367" s="132" t="s">
        <v>262</v>
      </c>
      <c r="C367" s="18">
        <f>4415*1.05*1.05*1.05</f>
        <v>5110.9143750000003</v>
      </c>
      <c r="D367" s="18"/>
      <c r="E367" s="37">
        <v>90</v>
      </c>
      <c r="F367" s="29"/>
      <c r="G367" s="73"/>
      <c r="H367" s="37">
        <f t="shared" si="62"/>
        <v>5200.9143750000003</v>
      </c>
    </row>
    <row r="368" spans="1:8" ht="50.1" customHeight="1">
      <c r="A368" s="25" t="s">
        <v>264</v>
      </c>
      <c r="B368" s="25" t="s">
        <v>262</v>
      </c>
      <c r="C368" s="18">
        <f>3520*1.05*1.05*1.05</f>
        <v>4074.84</v>
      </c>
      <c r="D368" s="18"/>
      <c r="E368" s="37">
        <v>90</v>
      </c>
      <c r="F368" s="29"/>
      <c r="G368" s="73"/>
      <c r="H368" s="37">
        <f t="shared" si="62"/>
        <v>4164.84</v>
      </c>
    </row>
    <row r="369" spans="1:8" ht="25.5" customHeight="1">
      <c r="A369" s="170"/>
      <c r="B369" s="64" t="s">
        <v>48</v>
      </c>
      <c r="C369" s="38">
        <f>SUM(C352:C368)</f>
        <v>83086.411159999989</v>
      </c>
      <c r="D369" s="38">
        <f t="shared" ref="D369:H369" si="63">SUM(D352:D368)</f>
        <v>211.84537500000002</v>
      </c>
      <c r="E369" s="38">
        <f t="shared" si="63"/>
        <v>1616</v>
      </c>
      <c r="F369" s="74">
        <f t="shared" si="63"/>
        <v>0</v>
      </c>
      <c r="G369" s="74">
        <f t="shared" si="63"/>
        <v>0</v>
      </c>
      <c r="H369" s="38">
        <f t="shared" si="63"/>
        <v>84490.565785000013</v>
      </c>
    </row>
    <row r="370" spans="1:8" ht="15" customHeight="1">
      <c r="A370" s="256"/>
      <c r="B370" s="256"/>
      <c r="C370" s="256"/>
      <c r="D370" s="256"/>
      <c r="E370" s="256"/>
      <c r="F370" s="257"/>
      <c r="G370" s="257"/>
      <c r="H370" s="256"/>
    </row>
    <row r="371" spans="1:8" ht="24.75" customHeight="1">
      <c r="A371" s="46" t="s">
        <v>3</v>
      </c>
      <c r="B371" s="46" t="s">
        <v>4</v>
      </c>
      <c r="C371" s="46" t="s">
        <v>5</v>
      </c>
      <c r="D371" s="46" t="s">
        <v>6</v>
      </c>
      <c r="E371" s="46" t="s">
        <v>7</v>
      </c>
      <c r="F371" s="71" t="s">
        <v>8</v>
      </c>
      <c r="G371" s="17" t="str">
        <f>G351</f>
        <v>COMPENSACIONES</v>
      </c>
      <c r="H371" s="46" t="s">
        <v>10</v>
      </c>
    </row>
    <row r="372" spans="1:8" ht="42.75" customHeight="1">
      <c r="A372" s="25" t="s">
        <v>265</v>
      </c>
      <c r="B372" s="25" t="s">
        <v>266</v>
      </c>
      <c r="C372" s="18">
        <f>6272*1.04*1.05*1.05</f>
        <v>7191.4752000000008</v>
      </c>
      <c r="D372" s="18">
        <f>183*1.04*1.05*1.05</f>
        <v>209.82780000000002</v>
      </c>
      <c r="E372" s="37"/>
      <c r="F372" s="29"/>
      <c r="G372" s="73"/>
      <c r="H372" s="37">
        <f>C372-D372+E372+G372</f>
        <v>6981.6474000000007</v>
      </c>
    </row>
    <row r="373" spans="1:8" ht="45" customHeight="1">
      <c r="A373" s="6" t="s">
        <v>267</v>
      </c>
      <c r="B373" s="6" t="s">
        <v>268</v>
      </c>
      <c r="C373" s="18">
        <f>4415*1.05*1.05*1.05</f>
        <v>5110.9143750000003</v>
      </c>
      <c r="D373" s="18"/>
      <c r="E373" s="37">
        <v>90</v>
      </c>
      <c r="F373" s="29"/>
      <c r="G373" s="73"/>
      <c r="H373" s="37">
        <f t="shared" ref="H373:H379" si="64">C373-D373+E373+G373</f>
        <v>5200.9143750000003</v>
      </c>
    </row>
    <row r="374" spans="1:8" ht="45.75" customHeight="1">
      <c r="A374" s="25" t="s">
        <v>269</v>
      </c>
      <c r="B374" s="6" t="s">
        <v>268</v>
      </c>
      <c r="C374" s="18">
        <f>4415*1.05*1.05*1.05</f>
        <v>5110.9143750000003</v>
      </c>
      <c r="D374" s="188"/>
      <c r="E374" s="188">
        <v>90</v>
      </c>
      <c r="F374" s="189"/>
      <c r="G374" s="73"/>
      <c r="H374" s="37">
        <f t="shared" si="64"/>
        <v>5200.9143750000003</v>
      </c>
    </row>
    <row r="375" spans="1:8" s="30" customFormat="1" ht="45" customHeight="1">
      <c r="A375" s="6" t="s">
        <v>270</v>
      </c>
      <c r="B375" s="6" t="s">
        <v>271</v>
      </c>
      <c r="C375" s="18">
        <f>5267.54*1.05</f>
        <v>5530.9170000000004</v>
      </c>
      <c r="D375" s="18"/>
      <c r="E375" s="37">
        <v>90</v>
      </c>
      <c r="F375" s="29"/>
      <c r="G375" s="73"/>
      <c r="H375" s="37">
        <f t="shared" si="64"/>
        <v>5620.9170000000004</v>
      </c>
    </row>
    <row r="376" spans="1:8" s="30" customFormat="1" ht="45" customHeight="1">
      <c r="A376" s="6" t="s">
        <v>272</v>
      </c>
      <c r="B376" s="6" t="s">
        <v>273</v>
      </c>
      <c r="C376" s="18">
        <f>4415*1.05*1.05*1.05</f>
        <v>5110.9143750000003</v>
      </c>
      <c r="D376" s="18"/>
      <c r="E376" s="37">
        <v>90</v>
      </c>
      <c r="F376" s="29"/>
      <c r="G376" s="73"/>
      <c r="H376" s="37">
        <f t="shared" si="64"/>
        <v>5200.9143750000003</v>
      </c>
    </row>
    <row r="377" spans="1:8" s="30" customFormat="1" ht="45" customHeight="1">
      <c r="A377" s="6" t="s">
        <v>274</v>
      </c>
      <c r="B377" s="7" t="s">
        <v>220</v>
      </c>
      <c r="C377" s="18">
        <f>4817*1.04*1.05*1.05</f>
        <v>5523.1722000000009</v>
      </c>
      <c r="D377" s="140">
        <f>99*1.04*1.05*1.05</f>
        <v>113.51340000000002</v>
      </c>
      <c r="E377" s="37"/>
      <c r="F377" s="29"/>
      <c r="G377" s="73"/>
      <c r="H377" s="37">
        <f t="shared" si="64"/>
        <v>5409.6588000000011</v>
      </c>
    </row>
    <row r="378" spans="1:8" s="30" customFormat="1" ht="51.75" customHeight="1">
      <c r="A378" s="25" t="s">
        <v>275</v>
      </c>
      <c r="B378" s="132" t="s">
        <v>220</v>
      </c>
      <c r="C378" s="18">
        <f>3872.82*1.05</f>
        <v>4066.4610000000002</v>
      </c>
      <c r="D378" s="18"/>
      <c r="E378" s="37">
        <v>120</v>
      </c>
      <c r="F378" s="29"/>
      <c r="G378" s="73"/>
      <c r="H378" s="37">
        <f t="shared" si="64"/>
        <v>4186.4610000000002</v>
      </c>
    </row>
    <row r="379" spans="1:8" s="30" customFormat="1" ht="54" customHeight="1">
      <c r="A379" s="6" t="s">
        <v>276</v>
      </c>
      <c r="B379" s="50" t="s">
        <v>277</v>
      </c>
      <c r="C379" s="18">
        <f>7138.92*1.05</f>
        <v>7495.866</v>
      </c>
      <c r="D379" s="18">
        <f>126*1.05*1.05*1.05</f>
        <v>145.86075000000002</v>
      </c>
      <c r="E379" s="37"/>
      <c r="F379" s="29"/>
      <c r="G379" s="73"/>
      <c r="H379" s="37">
        <f t="shared" si="64"/>
        <v>7350.0052500000002</v>
      </c>
    </row>
    <row r="380" spans="1:8" s="30" customFormat="1" ht="25.5" customHeight="1">
      <c r="A380" s="51"/>
      <c r="B380" s="64" t="s">
        <v>48</v>
      </c>
      <c r="C380" s="38">
        <f t="shared" ref="C380:H380" si="65">SUM(C372:C379)</f>
        <v>45140.634525000009</v>
      </c>
      <c r="D380" s="38">
        <f t="shared" si="65"/>
        <v>469.20195000000012</v>
      </c>
      <c r="E380" s="38">
        <f t="shared" si="65"/>
        <v>480</v>
      </c>
      <c r="F380" s="74">
        <f t="shared" si="65"/>
        <v>0</v>
      </c>
      <c r="G380" s="74">
        <f t="shared" si="65"/>
        <v>0</v>
      </c>
      <c r="H380" s="38">
        <f t="shared" si="65"/>
        <v>45151.432575000006</v>
      </c>
    </row>
    <row r="381" spans="1:8" s="30" customFormat="1" ht="15" customHeight="1">
      <c r="A381" s="256"/>
      <c r="B381" s="256"/>
      <c r="C381" s="256"/>
      <c r="D381" s="256"/>
      <c r="E381" s="256"/>
      <c r="F381" s="257"/>
      <c r="G381" s="257"/>
      <c r="H381" s="256"/>
    </row>
    <row r="382" spans="1:8" s="30" customFormat="1" ht="24.75" customHeight="1">
      <c r="A382" s="46" t="s">
        <v>3</v>
      </c>
      <c r="B382" s="46" t="s">
        <v>4</v>
      </c>
      <c r="C382" s="46" t="s">
        <v>5</v>
      </c>
      <c r="D382" s="46" t="s">
        <v>6</v>
      </c>
      <c r="E382" s="46" t="s">
        <v>7</v>
      </c>
      <c r="F382" s="71" t="s">
        <v>8</v>
      </c>
      <c r="G382" s="17" t="str">
        <f>G371</f>
        <v>COMPENSACIONES</v>
      </c>
      <c r="H382" s="46" t="s">
        <v>10</v>
      </c>
    </row>
    <row r="383" spans="1:8" s="30" customFormat="1" ht="51" customHeight="1">
      <c r="A383" s="25" t="s">
        <v>278</v>
      </c>
      <c r="B383" s="25" t="s">
        <v>279</v>
      </c>
      <c r="C383" s="18">
        <f>3511*1.05*1.05*1.05</f>
        <v>4064.4213750000008</v>
      </c>
      <c r="D383" s="37"/>
      <c r="E383" s="37">
        <v>130</v>
      </c>
      <c r="F383" s="29"/>
      <c r="G383" s="73"/>
      <c r="H383" s="37">
        <f>C383-D383+E383+G383</f>
        <v>4194.4213750000008</v>
      </c>
    </row>
    <row r="384" spans="1:8" s="30" customFormat="1" ht="30.95" customHeight="1">
      <c r="A384" s="51"/>
      <c r="B384" s="64" t="s">
        <v>48</v>
      </c>
      <c r="C384" s="173">
        <f>SUM(C383)</f>
        <v>4064.4213750000008</v>
      </c>
      <c r="D384" s="173">
        <f t="shared" ref="D384:H384" si="66">SUM(D383)</f>
        <v>0</v>
      </c>
      <c r="E384" s="173">
        <f t="shared" si="66"/>
        <v>130</v>
      </c>
      <c r="F384" s="178">
        <f t="shared" si="66"/>
        <v>0</v>
      </c>
      <c r="G384" s="178">
        <f t="shared" ref="G384" si="67">SUM(G383)</f>
        <v>0</v>
      </c>
      <c r="H384" s="173">
        <f t="shared" si="66"/>
        <v>4194.4213750000008</v>
      </c>
    </row>
    <row r="385" spans="1:8" s="30" customFormat="1" ht="47.25">
      <c r="A385" s="51"/>
      <c r="B385" s="64" t="s">
        <v>280</v>
      </c>
      <c r="C385" s="190">
        <f t="shared" ref="C385:H385" si="68">SUM(C328+C333+C343+C349+C369+C380+C384)</f>
        <v>276988.60758499999</v>
      </c>
      <c r="D385" s="190">
        <f t="shared" si="68"/>
        <v>3679.0866000000005</v>
      </c>
      <c r="E385" s="190">
        <f t="shared" si="68"/>
        <v>3665</v>
      </c>
      <c r="F385" s="196">
        <f t="shared" si="68"/>
        <v>0</v>
      </c>
      <c r="G385" s="196">
        <f t="shared" ref="G385" si="69">SUM(G328+G333+G343+G349+G369+G380+G384)</f>
        <v>0</v>
      </c>
      <c r="H385" s="190">
        <f t="shared" si="68"/>
        <v>276974.52098500001</v>
      </c>
    </row>
    <row r="386" spans="1:8" s="30" customFormat="1" ht="15" customHeight="1">
      <c r="A386" s="243"/>
      <c r="B386" s="243"/>
      <c r="C386" s="243"/>
      <c r="D386" s="243"/>
      <c r="E386" s="243"/>
      <c r="F386" s="244"/>
      <c r="G386" s="244"/>
      <c r="H386" s="243"/>
    </row>
    <row r="387" spans="1:8" s="30" customFormat="1" ht="15" customHeight="1">
      <c r="A387" s="243"/>
      <c r="B387" s="243"/>
      <c r="C387" s="243"/>
      <c r="D387" s="243"/>
      <c r="E387" s="243"/>
      <c r="F387" s="244"/>
      <c r="G387" s="244"/>
      <c r="H387" s="243"/>
    </row>
    <row r="388" spans="1:8" s="30" customFormat="1" ht="15" customHeight="1">
      <c r="A388" s="59"/>
      <c r="B388" s="59" t="str">
        <f>A3</f>
        <v>Nómina que corresponde a la 2da.  (SEGUNDA   ) quincena del mes de  ENERO de 2024.</v>
      </c>
      <c r="C388" s="59"/>
      <c r="D388" s="59"/>
      <c r="E388" s="59"/>
      <c r="F388" s="58"/>
      <c r="G388" s="84"/>
      <c r="H388" s="59"/>
    </row>
    <row r="389" spans="1:8" s="30" customFormat="1" ht="15" customHeight="1">
      <c r="A389" s="46"/>
      <c r="B389" s="46" t="s">
        <v>281</v>
      </c>
      <c r="C389" s="46"/>
      <c r="D389" s="46"/>
      <c r="E389" s="46"/>
      <c r="F389" s="60"/>
      <c r="G389" s="85"/>
      <c r="H389" s="46"/>
    </row>
    <row r="390" spans="1:8" s="30" customFormat="1" ht="24.75" customHeight="1">
      <c r="A390" s="46" t="s">
        <v>3</v>
      </c>
      <c r="B390" s="46" t="s">
        <v>4</v>
      </c>
      <c r="C390" s="46" t="s">
        <v>5</v>
      </c>
      <c r="D390" s="46" t="s">
        <v>6</v>
      </c>
      <c r="E390" s="46" t="s">
        <v>7</v>
      </c>
      <c r="F390" s="71" t="s">
        <v>8</v>
      </c>
      <c r="G390" s="17" t="str">
        <f>G382</f>
        <v>COMPENSACIONES</v>
      </c>
      <c r="H390" s="46" t="s">
        <v>10</v>
      </c>
    </row>
    <row r="391" spans="1:8" s="30" customFormat="1" ht="51" customHeight="1">
      <c r="A391" s="5" t="s">
        <v>282</v>
      </c>
      <c r="B391" s="4" t="s">
        <v>283</v>
      </c>
      <c r="C391" s="18">
        <f>5087*1.04*1.05*1.05</f>
        <v>5832.7542000000012</v>
      </c>
      <c r="D391" s="18">
        <f>154*1.04*1.05*1.05</f>
        <v>176.57640000000001</v>
      </c>
      <c r="E391" s="37"/>
      <c r="F391" s="29"/>
      <c r="G391" s="73"/>
      <c r="H391" s="37">
        <f>C391-D391+E391+G391</f>
        <v>5656.1778000000013</v>
      </c>
    </row>
    <row r="392" spans="1:8" ht="61.5" customHeight="1">
      <c r="A392" s="25" t="s">
        <v>284</v>
      </c>
      <c r="B392" s="4" t="s">
        <v>283</v>
      </c>
      <c r="C392" s="18">
        <f>3990*1.05</f>
        <v>4189.5</v>
      </c>
      <c r="D392" s="18"/>
      <c r="E392" s="37">
        <v>90</v>
      </c>
      <c r="G392" s="73"/>
      <c r="H392" s="37">
        <f>C392-D392+E392+G392</f>
        <v>4279.5</v>
      </c>
    </row>
    <row r="393" spans="1:8" s="30" customFormat="1" ht="51" customHeight="1">
      <c r="A393" s="5" t="s">
        <v>285</v>
      </c>
      <c r="B393" s="4" t="s">
        <v>283</v>
      </c>
      <c r="C393" s="18">
        <f>5087*1.04*1.05*1.05</f>
        <v>5832.7542000000012</v>
      </c>
      <c r="D393" s="18">
        <f>154*1.04*1.05*1.05</f>
        <v>176.57640000000001</v>
      </c>
      <c r="E393" s="37"/>
      <c r="F393" s="29"/>
      <c r="G393" s="73"/>
      <c r="H393" s="37">
        <f t="shared" ref="H393:H398" si="70">C393-D393+E393+G393</f>
        <v>5656.1778000000013</v>
      </c>
    </row>
    <row r="394" spans="1:8" s="30" customFormat="1" ht="51" customHeight="1">
      <c r="A394" s="6" t="s">
        <v>286</v>
      </c>
      <c r="B394" s="7" t="s">
        <v>287</v>
      </c>
      <c r="C394" s="18">
        <f>4058*1.04*1.05*1.05</f>
        <v>4652.9028000000008</v>
      </c>
      <c r="D394" s="18"/>
      <c r="E394" s="37">
        <v>95</v>
      </c>
      <c r="F394" s="29"/>
      <c r="G394" s="73"/>
      <c r="H394" s="37">
        <f t="shared" si="70"/>
        <v>4747.9028000000008</v>
      </c>
    </row>
    <row r="395" spans="1:8" s="30" customFormat="1" ht="51" customHeight="1">
      <c r="A395" s="6" t="s">
        <v>288</v>
      </c>
      <c r="B395" s="6" t="s">
        <v>289</v>
      </c>
      <c r="C395" s="18">
        <f>4058*1.04*1.05*1.05</f>
        <v>4652.9028000000008</v>
      </c>
      <c r="D395" s="18"/>
      <c r="E395" s="37">
        <v>95</v>
      </c>
      <c r="F395" s="29"/>
      <c r="G395" s="73"/>
      <c r="H395" s="37">
        <f t="shared" si="70"/>
        <v>4747.9028000000008</v>
      </c>
    </row>
    <row r="396" spans="1:8" ht="51" customHeight="1">
      <c r="A396" s="6" t="s">
        <v>290</v>
      </c>
      <c r="B396" s="6" t="s">
        <v>289</v>
      </c>
      <c r="C396" s="18">
        <f>5545*1.05*1.05*1.05</f>
        <v>6419.0306250000003</v>
      </c>
      <c r="D396" s="18">
        <f>99*1.05*1.05*1.05</f>
        <v>114.60487500000001</v>
      </c>
      <c r="E396" s="37"/>
      <c r="F396" s="29">
        <v>126</v>
      </c>
      <c r="G396" s="73"/>
      <c r="H396" s="37">
        <f>C396-D396+E396+F396+G396</f>
        <v>6430.4257500000003</v>
      </c>
    </row>
    <row r="397" spans="1:8" ht="51" customHeight="1">
      <c r="A397" s="192" t="s">
        <v>291</v>
      </c>
      <c r="B397" s="6" t="s">
        <v>289</v>
      </c>
      <c r="C397" s="18">
        <f>6498*1.05*1.05*1.05</f>
        <v>7522.2472500000013</v>
      </c>
      <c r="D397" s="18">
        <f>220*1.05*1.05*1.05</f>
        <v>254.67750000000001</v>
      </c>
      <c r="E397" s="18"/>
      <c r="F397" s="197">
        <v>175</v>
      </c>
      <c r="G397" s="73"/>
      <c r="H397" s="37">
        <f>C397-D397+E397+F397+G397</f>
        <v>7442.5697500000015</v>
      </c>
    </row>
    <row r="398" spans="1:8" s="30" customFormat="1" ht="51" customHeight="1">
      <c r="A398" s="6" t="s">
        <v>292</v>
      </c>
      <c r="B398" s="6" t="s">
        <v>289</v>
      </c>
      <c r="C398" s="83">
        <f>4058*1.04*1.05*1.05</f>
        <v>4652.9028000000008</v>
      </c>
      <c r="D398" s="83"/>
      <c r="E398" s="37">
        <v>95</v>
      </c>
      <c r="F398" s="29"/>
      <c r="G398" s="73"/>
      <c r="H398" s="37">
        <f t="shared" si="70"/>
        <v>4747.9028000000008</v>
      </c>
    </row>
    <row r="399" spans="1:8" s="30" customFormat="1" ht="25.5" customHeight="1">
      <c r="A399" s="193"/>
      <c r="B399" s="11" t="s">
        <v>23</v>
      </c>
      <c r="C399" s="38">
        <f t="shared" ref="C399:H399" si="71">SUM(C391:C398)</f>
        <v>43754.994675000009</v>
      </c>
      <c r="D399" s="38">
        <f t="shared" si="71"/>
        <v>722.43517500000007</v>
      </c>
      <c r="E399" s="38">
        <f t="shared" si="71"/>
        <v>375</v>
      </c>
      <c r="F399" s="74">
        <f t="shared" si="71"/>
        <v>301</v>
      </c>
      <c r="G399" s="74">
        <f t="shared" si="71"/>
        <v>0</v>
      </c>
      <c r="H399" s="38">
        <f t="shared" si="71"/>
        <v>43708.55950000001</v>
      </c>
    </row>
    <row r="400" spans="1:8" s="33" customFormat="1" ht="15" customHeight="1">
      <c r="A400" s="243"/>
      <c r="B400" s="243"/>
      <c r="C400" s="243"/>
      <c r="D400" s="243"/>
      <c r="E400" s="243"/>
      <c r="F400" s="244"/>
      <c r="G400" s="244"/>
      <c r="H400" s="243"/>
    </row>
    <row r="401" spans="1:8" ht="15" customHeight="1">
      <c r="A401" s="243"/>
      <c r="B401" s="243"/>
      <c r="C401" s="243"/>
      <c r="D401" s="243"/>
      <c r="E401" s="243"/>
      <c r="F401" s="244"/>
      <c r="G401" s="244"/>
      <c r="H401" s="243"/>
    </row>
    <row r="402" spans="1:8" ht="15" customHeight="1">
      <c r="A402" s="254"/>
      <c r="B402" s="254"/>
      <c r="C402" s="254"/>
      <c r="D402" s="254"/>
      <c r="E402" s="254"/>
      <c r="F402" s="255"/>
      <c r="G402" s="255"/>
      <c r="H402" s="254"/>
    </row>
    <row r="403" spans="1:8" ht="15" customHeight="1">
      <c r="A403" s="245"/>
      <c r="B403" s="245"/>
      <c r="C403" s="245"/>
      <c r="D403" s="245"/>
      <c r="E403" s="245"/>
      <c r="F403" s="246"/>
      <c r="G403" s="246"/>
      <c r="H403" s="245"/>
    </row>
    <row r="404" spans="1:8" ht="24.75" customHeight="1">
      <c r="A404" s="46" t="s">
        <v>3</v>
      </c>
      <c r="B404" s="46" t="s">
        <v>4</v>
      </c>
      <c r="C404" s="46" t="s">
        <v>5</v>
      </c>
      <c r="D404" s="46" t="s">
        <v>6</v>
      </c>
      <c r="E404" s="46" t="s">
        <v>7</v>
      </c>
      <c r="F404" s="71" t="s">
        <v>8</v>
      </c>
      <c r="G404" s="17" t="str">
        <f>G390</f>
        <v>COMPENSACIONES</v>
      </c>
      <c r="H404" s="46" t="s">
        <v>10</v>
      </c>
    </row>
    <row r="405" spans="1:8" ht="43.5" customHeight="1">
      <c r="A405" s="47" t="s">
        <v>293</v>
      </c>
      <c r="B405" s="42" t="s">
        <v>294</v>
      </c>
      <c r="C405" s="53">
        <f>6691*1.04*1.05*1.05</f>
        <v>7671.9006000000018</v>
      </c>
      <c r="D405" s="53">
        <f>240.24*1.05</f>
        <v>252.25200000000001</v>
      </c>
      <c r="E405" s="198"/>
      <c r="F405" s="199"/>
      <c r="G405" s="199"/>
      <c r="H405" s="198">
        <f>C405-D405+E405+F405+G405</f>
        <v>7419.6486000000014</v>
      </c>
    </row>
    <row r="406" spans="1:8" ht="45" customHeight="1">
      <c r="A406" s="25" t="s">
        <v>295</v>
      </c>
      <c r="B406" s="25" t="s">
        <v>296</v>
      </c>
      <c r="C406" s="18">
        <f>3913*1.05*1.05*1.05</f>
        <v>4529.7866250000006</v>
      </c>
      <c r="D406" s="18"/>
      <c r="E406" s="37">
        <v>120</v>
      </c>
      <c r="F406" s="29"/>
      <c r="G406" s="177"/>
      <c r="H406" s="72">
        <f>C406-D406+E406+G406</f>
        <v>4649.7866250000006</v>
      </c>
    </row>
    <row r="407" spans="1:8" ht="45" customHeight="1">
      <c r="A407" s="24" t="s">
        <v>297</v>
      </c>
      <c r="B407" s="25" t="s">
        <v>298</v>
      </c>
      <c r="C407" s="83">
        <f>3241*1.05*1.05*1.05</f>
        <v>3751.8626250000007</v>
      </c>
      <c r="D407" s="83"/>
      <c r="E407" s="113">
        <v>95</v>
      </c>
      <c r="F407" s="114"/>
      <c r="G407" s="200"/>
      <c r="H407" s="113">
        <f>C407-D407+E407+G407</f>
        <v>3846.8626250000007</v>
      </c>
    </row>
    <row r="408" spans="1:8" ht="25.5" customHeight="1">
      <c r="A408" s="128"/>
      <c r="B408" s="11" t="s">
        <v>23</v>
      </c>
      <c r="C408" s="45">
        <f>SUM(C405:C407)</f>
        <v>15953.549850000003</v>
      </c>
      <c r="D408" s="45">
        <f t="shared" ref="D408:H408" si="72">SUM(D405:D407)</f>
        <v>252.25200000000001</v>
      </c>
      <c r="E408" s="45">
        <f t="shared" si="72"/>
        <v>215</v>
      </c>
      <c r="F408" s="76">
        <f t="shared" si="72"/>
        <v>0</v>
      </c>
      <c r="G408" s="76">
        <f t="shared" si="72"/>
        <v>0</v>
      </c>
      <c r="H408" s="45">
        <f t="shared" si="72"/>
        <v>15916.297850000003</v>
      </c>
    </row>
    <row r="409" spans="1:8" ht="15" customHeight="1">
      <c r="A409" s="243"/>
      <c r="B409" s="243"/>
      <c r="C409" s="243"/>
      <c r="D409" s="243"/>
      <c r="E409" s="243"/>
      <c r="F409" s="244"/>
      <c r="G409" s="244"/>
      <c r="H409" s="243"/>
    </row>
    <row r="410" spans="1:8" ht="15" customHeight="1">
      <c r="A410" s="243"/>
      <c r="B410" s="243"/>
      <c r="C410" s="243"/>
      <c r="D410" s="243"/>
      <c r="E410" s="243"/>
      <c r="F410" s="244"/>
      <c r="G410" s="244"/>
      <c r="H410" s="243"/>
    </row>
    <row r="411" spans="1:8" ht="15" customHeight="1">
      <c r="A411" s="254"/>
      <c r="B411" s="254"/>
      <c r="C411" s="254"/>
      <c r="D411" s="254"/>
      <c r="E411" s="254"/>
      <c r="F411" s="255"/>
      <c r="G411" s="255"/>
      <c r="H411" s="254"/>
    </row>
    <row r="412" spans="1:8" ht="15" customHeight="1">
      <c r="A412" s="245"/>
      <c r="B412" s="245"/>
      <c r="C412" s="245"/>
      <c r="D412" s="245"/>
      <c r="E412" s="245"/>
      <c r="F412" s="246"/>
      <c r="G412" s="246"/>
      <c r="H412" s="245"/>
    </row>
    <row r="413" spans="1:8" ht="24.75" customHeight="1">
      <c r="A413" s="46" t="s">
        <v>3</v>
      </c>
      <c r="B413" s="46" t="s">
        <v>4</v>
      </c>
      <c r="C413" s="46" t="s">
        <v>5</v>
      </c>
      <c r="D413" s="46" t="s">
        <v>6</v>
      </c>
      <c r="E413" s="46" t="s">
        <v>7</v>
      </c>
      <c r="F413" s="71" t="s">
        <v>8</v>
      </c>
      <c r="G413" s="17" t="str">
        <f>G404</f>
        <v>COMPENSACIONES</v>
      </c>
      <c r="H413" s="46" t="s">
        <v>10</v>
      </c>
    </row>
    <row r="414" spans="1:8" ht="44.25" customHeight="1">
      <c r="A414" s="47" t="s">
        <v>299</v>
      </c>
      <c r="B414" s="42" t="s">
        <v>300</v>
      </c>
      <c r="C414" s="53">
        <f>6691*1.04*1.05*1.05</f>
        <v>7671.9006000000018</v>
      </c>
      <c r="D414" s="53">
        <f>240.24*1.05</f>
        <v>252.25200000000001</v>
      </c>
      <c r="E414" s="53"/>
      <c r="F414" s="79"/>
      <c r="G414" s="79"/>
      <c r="H414" s="53">
        <f>C414-D414+E414+G414</f>
        <v>7419.6486000000014</v>
      </c>
    </row>
    <row r="415" spans="1:8" ht="51" customHeight="1">
      <c r="A415" s="25" t="s">
        <v>301</v>
      </c>
      <c r="B415" s="25" t="s">
        <v>302</v>
      </c>
      <c r="C415" s="18">
        <f>4349*1.04*1.05*1.05</f>
        <v>4986.5634</v>
      </c>
      <c r="D415" s="18"/>
      <c r="E415" s="72">
        <v>90</v>
      </c>
      <c r="F415" s="28"/>
      <c r="G415" s="177"/>
      <c r="H415" s="72">
        <f>C415-D415+E415+G415</f>
        <v>5076.5634</v>
      </c>
    </row>
    <row r="416" spans="1:8" ht="51" customHeight="1">
      <c r="A416" s="124" t="s">
        <v>303</v>
      </c>
      <c r="B416" s="25" t="s">
        <v>304</v>
      </c>
      <c r="C416" s="18">
        <f>5446*1.04*1.05*1.05</f>
        <v>6244.3836000000001</v>
      </c>
      <c r="D416" s="18">
        <f>270*1.04*1.05*1.05</f>
        <v>309.58200000000005</v>
      </c>
      <c r="E416" s="72"/>
      <c r="F416" s="28"/>
      <c r="G416" s="177"/>
      <c r="H416" s="72">
        <f t="shared" ref="H416:H422" si="73">C416-D416+E416+G416</f>
        <v>5934.8015999999998</v>
      </c>
    </row>
    <row r="417" spans="1:8" ht="51" customHeight="1">
      <c r="A417" s="25" t="s">
        <v>305</v>
      </c>
      <c r="B417" s="25" t="s">
        <v>243</v>
      </c>
      <c r="C417" s="18">
        <f>4614*1.05</f>
        <v>4844.7</v>
      </c>
      <c r="D417" s="18"/>
      <c r="E417" s="37">
        <v>120</v>
      </c>
      <c r="F417" s="29"/>
      <c r="G417" s="177"/>
      <c r="H417" s="72">
        <f t="shared" si="73"/>
        <v>4964.7</v>
      </c>
    </row>
    <row r="418" spans="1:8" ht="51" customHeight="1">
      <c r="A418" s="25" t="s">
        <v>306</v>
      </c>
      <c r="B418" s="25" t="s">
        <v>296</v>
      </c>
      <c r="C418" s="18">
        <f>4432*1.05*1.05*1.05</f>
        <v>5130.594000000001</v>
      </c>
      <c r="D418" s="18"/>
      <c r="E418" s="72">
        <v>90</v>
      </c>
      <c r="F418" s="28"/>
      <c r="G418" s="177"/>
      <c r="H418" s="72">
        <f t="shared" si="73"/>
        <v>5220.594000000001</v>
      </c>
    </row>
    <row r="419" spans="1:8" ht="51" customHeight="1">
      <c r="A419" s="25" t="s">
        <v>307</v>
      </c>
      <c r="B419" s="25" t="s">
        <v>268</v>
      </c>
      <c r="C419" s="18">
        <f>4432*1.05*1.05*1.05</f>
        <v>5130.594000000001</v>
      </c>
      <c r="D419" s="18"/>
      <c r="E419" s="72">
        <v>90</v>
      </c>
      <c r="F419" s="28"/>
      <c r="G419" s="177"/>
      <c r="H419" s="72">
        <f t="shared" si="73"/>
        <v>5220.594000000001</v>
      </c>
    </row>
    <row r="420" spans="1:8" ht="51" customHeight="1">
      <c r="A420" s="25" t="s">
        <v>308</v>
      </c>
      <c r="B420" s="25" t="s">
        <v>309</v>
      </c>
      <c r="C420" s="18">
        <f>3819*1.05*1.05*1.05</f>
        <v>4420.9698750000007</v>
      </c>
      <c r="D420" s="18"/>
      <c r="E420" s="37">
        <v>129</v>
      </c>
      <c r="F420" s="29"/>
      <c r="G420" s="177"/>
      <c r="H420" s="72">
        <f t="shared" si="73"/>
        <v>4549.9698750000007</v>
      </c>
    </row>
    <row r="421" spans="1:8" ht="51" customHeight="1">
      <c r="A421" s="25" t="s">
        <v>310</v>
      </c>
      <c r="B421" s="25" t="s">
        <v>243</v>
      </c>
      <c r="C421" s="18">
        <f>4614*1.05</f>
        <v>4844.7</v>
      </c>
      <c r="D421" s="18"/>
      <c r="E421" s="72">
        <v>120</v>
      </c>
      <c r="F421" s="28"/>
      <c r="G421" s="177"/>
      <c r="H421" s="72">
        <f t="shared" si="73"/>
        <v>4964.7</v>
      </c>
    </row>
    <row r="422" spans="1:8" ht="51" customHeight="1">
      <c r="A422" s="6" t="s">
        <v>311</v>
      </c>
      <c r="B422" s="25" t="s">
        <v>262</v>
      </c>
      <c r="C422" s="83">
        <f>4614*1.05</f>
        <v>4844.7</v>
      </c>
      <c r="D422" s="83"/>
      <c r="E422" s="113">
        <v>120</v>
      </c>
      <c r="F422" s="114"/>
      <c r="G422" s="200"/>
      <c r="H422" s="113">
        <f t="shared" si="73"/>
        <v>4964.7</v>
      </c>
    </row>
    <row r="423" spans="1:8" ht="25.5" customHeight="1">
      <c r="A423" s="44"/>
      <c r="B423" s="194" t="s">
        <v>23</v>
      </c>
      <c r="C423" s="117">
        <f>SUM(C414:C422)</f>
        <v>48119.105474999997</v>
      </c>
      <c r="D423" s="45">
        <f t="shared" ref="D423:H423" si="74">SUM(D414:D422)</f>
        <v>561.83400000000006</v>
      </c>
      <c r="E423" s="45">
        <f t="shared" si="74"/>
        <v>759</v>
      </c>
      <c r="F423" s="76">
        <f t="shared" si="74"/>
        <v>0</v>
      </c>
      <c r="G423" s="76">
        <f t="shared" si="74"/>
        <v>0</v>
      </c>
      <c r="H423" s="117">
        <f t="shared" si="74"/>
        <v>48316.271475000001</v>
      </c>
    </row>
    <row r="424" spans="1:8" ht="15" customHeight="1">
      <c r="A424" s="243"/>
      <c r="B424" s="243"/>
      <c r="C424" s="243"/>
      <c r="D424" s="243"/>
      <c r="E424" s="243"/>
      <c r="F424" s="244"/>
      <c r="G424" s="244"/>
      <c r="H424" s="243"/>
    </row>
    <row r="425" spans="1:8" ht="15" customHeight="1">
      <c r="A425" s="243"/>
      <c r="B425" s="243"/>
      <c r="C425" s="243"/>
      <c r="D425" s="243"/>
      <c r="E425" s="243"/>
      <c r="F425" s="244"/>
      <c r="G425" s="244"/>
      <c r="H425" s="243"/>
    </row>
    <row r="426" spans="1:8" ht="15" customHeight="1">
      <c r="A426" s="254"/>
      <c r="B426" s="254"/>
      <c r="C426" s="254"/>
      <c r="D426" s="254"/>
      <c r="E426" s="254"/>
      <c r="F426" s="255"/>
      <c r="G426" s="255"/>
      <c r="H426" s="254"/>
    </row>
    <row r="427" spans="1:8" ht="15" customHeight="1">
      <c r="A427" s="245"/>
      <c r="B427" s="245"/>
      <c r="C427" s="245"/>
      <c r="D427" s="245"/>
      <c r="E427" s="245"/>
      <c r="F427" s="246"/>
      <c r="G427" s="246"/>
      <c r="H427" s="245"/>
    </row>
    <row r="428" spans="1:8" ht="30.75" customHeight="1">
      <c r="A428" s="46" t="s">
        <v>3</v>
      </c>
      <c r="B428" s="46" t="s">
        <v>4</v>
      </c>
      <c r="C428" s="46" t="s">
        <v>5</v>
      </c>
      <c r="D428" s="46" t="s">
        <v>6</v>
      </c>
      <c r="E428" s="46" t="s">
        <v>7</v>
      </c>
      <c r="F428" s="71" t="s">
        <v>8</v>
      </c>
      <c r="G428" s="17" t="str">
        <f>G413</f>
        <v>COMPENSACIONES</v>
      </c>
      <c r="H428" s="46" t="s">
        <v>10</v>
      </c>
    </row>
    <row r="429" spans="1:8" ht="50.1" customHeight="1">
      <c r="A429" s="42" t="s">
        <v>312</v>
      </c>
      <c r="B429" s="42" t="s">
        <v>313</v>
      </c>
      <c r="C429" s="53">
        <f>6691*1.04*1.05*1.05</f>
        <v>7671.9006000000018</v>
      </c>
      <c r="D429" s="53">
        <f>220*1.04*1.05*1.05</f>
        <v>252.25200000000001</v>
      </c>
      <c r="E429" s="53"/>
      <c r="F429" s="79"/>
      <c r="G429" s="79"/>
      <c r="H429" s="53">
        <f>C429-D429+E429+G429</f>
        <v>7419.6486000000014</v>
      </c>
    </row>
    <row r="430" spans="1:8" ht="50.1" customHeight="1">
      <c r="A430" s="25" t="s">
        <v>314</v>
      </c>
      <c r="B430" s="25" t="s">
        <v>304</v>
      </c>
      <c r="C430" s="18">
        <f>6140*1.04*1.05*1.05</f>
        <v>7040.1240000000016</v>
      </c>
      <c r="D430" s="18">
        <f>183*1.04*1.05*1.05</f>
        <v>209.82780000000002</v>
      </c>
      <c r="E430" s="72"/>
      <c r="F430" s="28"/>
      <c r="G430" s="73"/>
      <c r="H430" s="72">
        <f t="shared" ref="H430:H437" si="75">C430-D430+E430+G430</f>
        <v>6830.2962000000016</v>
      </c>
    </row>
    <row r="431" spans="1:8" ht="50.1" customHeight="1">
      <c r="A431" s="25" t="s">
        <v>315</v>
      </c>
      <c r="B431" s="25" t="s">
        <v>243</v>
      </c>
      <c r="C431" s="18">
        <f>3931.2*1.05</f>
        <v>4127.76</v>
      </c>
      <c r="D431" s="18"/>
      <c r="E431" s="72">
        <v>130</v>
      </c>
      <c r="F431" s="28"/>
      <c r="G431" s="73"/>
      <c r="H431" s="72">
        <f t="shared" si="75"/>
        <v>4257.76</v>
      </c>
    </row>
    <row r="432" spans="1:8" ht="50.1" customHeight="1">
      <c r="A432" s="25" t="s">
        <v>316</v>
      </c>
      <c r="B432" s="25" t="s">
        <v>243</v>
      </c>
      <c r="C432" s="18">
        <f>3543*1.05*1.05*1.05</f>
        <v>4101.4653750000007</v>
      </c>
      <c r="D432" s="18"/>
      <c r="E432" s="72">
        <v>130</v>
      </c>
      <c r="F432" s="28"/>
      <c r="G432" s="73"/>
      <c r="H432" s="72">
        <f t="shared" si="75"/>
        <v>4231.4653750000007</v>
      </c>
    </row>
    <row r="433" spans="1:14" ht="50.1" customHeight="1">
      <c r="A433" s="25" t="s">
        <v>317</v>
      </c>
      <c r="B433" s="25" t="s">
        <v>296</v>
      </c>
      <c r="C433" s="18">
        <f>4067*1.05*1.05*1.05</f>
        <v>4708.0608750000001</v>
      </c>
      <c r="D433" s="18"/>
      <c r="E433" s="72">
        <v>110</v>
      </c>
      <c r="F433" s="28"/>
      <c r="G433" s="73"/>
      <c r="H433" s="72">
        <f t="shared" si="75"/>
        <v>4818.0608750000001</v>
      </c>
    </row>
    <row r="434" spans="1:14" ht="50.1" customHeight="1">
      <c r="A434" s="6" t="s">
        <v>318</v>
      </c>
      <c r="B434" s="6" t="s">
        <v>319</v>
      </c>
      <c r="C434" s="18">
        <f>4013*1.05*1.05*1.05</f>
        <v>4645.5491250000005</v>
      </c>
      <c r="D434" s="18"/>
      <c r="E434" s="37">
        <v>110</v>
      </c>
      <c r="F434" s="29"/>
      <c r="G434" s="73"/>
      <c r="H434" s="72">
        <f t="shared" si="75"/>
        <v>4755.5491250000005</v>
      </c>
      <c r="N434" s="20">
        <f>11003.92*2</f>
        <v>22007.84</v>
      </c>
    </row>
    <row r="435" spans="1:14" ht="50.1" customHeight="1">
      <c r="A435" s="6" t="s">
        <v>320</v>
      </c>
      <c r="B435" s="6" t="s">
        <v>321</v>
      </c>
      <c r="C435" s="18">
        <f>2347*1.05*1.05*1.05</f>
        <v>2716.9458750000003</v>
      </c>
      <c r="D435" s="18"/>
      <c r="E435" s="37">
        <v>150</v>
      </c>
      <c r="F435" s="29"/>
      <c r="G435" s="73"/>
      <c r="H435" s="72">
        <f t="shared" si="75"/>
        <v>2866.9458750000003</v>
      </c>
    </row>
    <row r="436" spans="1:14" ht="50.1" customHeight="1">
      <c r="A436" s="6" t="s">
        <v>322</v>
      </c>
      <c r="B436" s="6" t="s">
        <v>323</v>
      </c>
      <c r="C436" s="18">
        <f>3587.85*1.05*1.05</f>
        <v>3955.6046250000004</v>
      </c>
      <c r="D436" s="18"/>
      <c r="E436" s="37"/>
      <c r="F436" s="29"/>
      <c r="G436" s="73"/>
      <c r="H436" s="72">
        <f t="shared" si="75"/>
        <v>3955.6046250000004</v>
      </c>
    </row>
    <row r="437" spans="1:14" ht="50.1" customHeight="1">
      <c r="A437" s="25" t="s">
        <v>324</v>
      </c>
      <c r="B437" s="25" t="s">
        <v>230</v>
      </c>
      <c r="C437" s="18">
        <f>3670.22*1.05</f>
        <v>3853.7309999999998</v>
      </c>
      <c r="D437" s="18"/>
      <c r="E437" s="37">
        <v>140</v>
      </c>
      <c r="F437" s="29"/>
      <c r="G437" s="73"/>
      <c r="H437" s="72">
        <f t="shared" si="75"/>
        <v>3993.7309999999998</v>
      </c>
    </row>
    <row r="438" spans="1:14" ht="25.5" customHeight="1">
      <c r="A438" s="51"/>
      <c r="B438" s="64" t="s">
        <v>325</v>
      </c>
      <c r="C438" s="38">
        <f t="shared" ref="C438:H438" si="76">SUM(C429:C437)</f>
        <v>42821.141475000004</v>
      </c>
      <c r="D438" s="38">
        <f t="shared" si="76"/>
        <v>462.07980000000003</v>
      </c>
      <c r="E438" s="38">
        <f t="shared" si="76"/>
        <v>770</v>
      </c>
      <c r="F438" s="74">
        <f t="shared" si="76"/>
        <v>0</v>
      </c>
      <c r="G438" s="74">
        <f t="shared" si="76"/>
        <v>0</v>
      </c>
      <c r="H438" s="38">
        <f t="shared" si="76"/>
        <v>43129.061675000004</v>
      </c>
    </row>
    <row r="439" spans="1:14" ht="15" customHeight="1">
      <c r="A439" s="256"/>
      <c r="B439" s="256"/>
      <c r="C439" s="256"/>
      <c r="D439" s="256"/>
      <c r="E439" s="256"/>
      <c r="F439" s="257"/>
      <c r="G439" s="257"/>
      <c r="H439" s="256"/>
    </row>
    <row r="440" spans="1:14" ht="24.75" customHeight="1">
      <c r="A440" s="46" t="s">
        <v>3</v>
      </c>
      <c r="B440" s="46" t="s">
        <v>4</v>
      </c>
      <c r="C440" s="46" t="s">
        <v>5</v>
      </c>
      <c r="D440" s="46" t="s">
        <v>6</v>
      </c>
      <c r="E440" s="46" t="s">
        <v>7</v>
      </c>
      <c r="F440" s="71" t="s">
        <v>8</v>
      </c>
      <c r="G440" s="17" t="str">
        <f>G428</f>
        <v>COMPENSACIONES</v>
      </c>
      <c r="H440" s="46" t="s">
        <v>10</v>
      </c>
    </row>
    <row r="441" spans="1:14" ht="40.5" customHeight="1">
      <c r="A441" s="120" t="s">
        <v>326</v>
      </c>
      <c r="B441" s="6" t="s">
        <v>327</v>
      </c>
      <c r="C441" s="18">
        <f>3500*1.04*1.05*1.05</f>
        <v>4013.1000000000004</v>
      </c>
      <c r="D441" s="201"/>
      <c r="E441" s="46"/>
      <c r="F441" s="71"/>
      <c r="G441" s="202"/>
      <c r="H441" s="37">
        <f>C441+G441</f>
        <v>4013.1000000000004</v>
      </c>
    </row>
    <row r="442" spans="1:14" s="21" customFormat="1" ht="50.1" customHeight="1">
      <c r="A442" s="6" t="s">
        <v>328</v>
      </c>
      <c r="B442" s="6" t="s">
        <v>329</v>
      </c>
      <c r="C442" s="18">
        <f>2915*1.05*1.05*1.05</f>
        <v>3374.4768749999998</v>
      </c>
      <c r="D442" s="18"/>
      <c r="E442" s="37">
        <v>155</v>
      </c>
      <c r="F442" s="29"/>
      <c r="G442" s="202"/>
      <c r="H442" s="72">
        <f>C442-D442+E442+G442</f>
        <v>3529.4768749999998</v>
      </c>
    </row>
    <row r="443" spans="1:14" ht="25.5" customHeight="1">
      <c r="A443" s="170"/>
      <c r="B443" s="127" t="s">
        <v>330</v>
      </c>
      <c r="C443" s="195">
        <f>SUM(C441:C442)</f>
        <v>7387.5768750000007</v>
      </c>
      <c r="D443" s="195">
        <f t="shared" ref="D443:H443" si="77">SUM(D441:D442)</f>
        <v>0</v>
      </c>
      <c r="E443" s="195">
        <f t="shared" si="77"/>
        <v>155</v>
      </c>
      <c r="F443" s="203">
        <f t="shared" si="77"/>
        <v>0</v>
      </c>
      <c r="G443" s="203">
        <f t="shared" ref="G443" si="78">SUM(G441:G442)</f>
        <v>0</v>
      </c>
      <c r="H443" s="195">
        <f t="shared" si="77"/>
        <v>7542.5768750000007</v>
      </c>
    </row>
    <row r="444" spans="1:14" ht="25.5" customHeight="1">
      <c r="A444" s="44"/>
      <c r="B444" s="64" t="s">
        <v>331</v>
      </c>
      <c r="C444" s="190">
        <f>SUM(C438+C443)</f>
        <v>50208.718350000003</v>
      </c>
      <c r="D444" s="190">
        <f t="shared" ref="D444:H444" si="79">SUM(D438+D443)</f>
        <v>462.07980000000003</v>
      </c>
      <c r="E444" s="190">
        <f t="shared" si="79"/>
        <v>925</v>
      </c>
      <c r="F444" s="196">
        <f t="shared" si="79"/>
        <v>0</v>
      </c>
      <c r="G444" s="196">
        <f t="shared" ref="G444" si="80">SUM(G438+G443)</f>
        <v>0</v>
      </c>
      <c r="H444" s="190">
        <f t="shared" si="79"/>
        <v>50671.638550000003</v>
      </c>
    </row>
    <row r="445" spans="1:14" ht="15" customHeight="1">
      <c r="A445" s="241"/>
      <c r="B445" s="241"/>
      <c r="C445" s="241"/>
      <c r="D445" s="241"/>
      <c r="E445" s="241"/>
      <c r="F445" s="242"/>
      <c r="G445" s="242"/>
      <c r="H445" s="241"/>
    </row>
    <row r="446" spans="1:14" ht="15" customHeight="1">
      <c r="A446" s="241"/>
      <c r="B446" s="241"/>
      <c r="C446" s="241"/>
      <c r="D446" s="241"/>
      <c r="E446" s="241"/>
      <c r="F446" s="242"/>
      <c r="G446" s="242"/>
      <c r="H446" s="241"/>
    </row>
    <row r="447" spans="1:14" ht="15" customHeight="1">
      <c r="A447" s="250"/>
      <c r="B447" s="250"/>
      <c r="C447" s="250"/>
      <c r="D447" s="250"/>
      <c r="E447" s="250"/>
      <c r="F447" s="251"/>
      <c r="G447" s="251"/>
      <c r="H447" s="250"/>
    </row>
    <row r="448" spans="1:14" ht="15" customHeight="1">
      <c r="A448" s="245"/>
      <c r="B448" s="245"/>
      <c r="C448" s="245"/>
      <c r="D448" s="245"/>
      <c r="E448" s="245"/>
      <c r="F448" s="246"/>
      <c r="G448" s="246"/>
      <c r="H448" s="245"/>
    </row>
    <row r="449" spans="1:8" ht="24.75" customHeight="1">
      <c r="A449" s="46" t="s">
        <v>3</v>
      </c>
      <c r="B449" s="46" t="s">
        <v>4</v>
      </c>
      <c r="C449" s="46" t="s">
        <v>5</v>
      </c>
      <c r="D449" s="46" t="s">
        <v>6</v>
      </c>
      <c r="E449" s="46" t="s">
        <v>7</v>
      </c>
      <c r="F449" s="71" t="s">
        <v>8</v>
      </c>
      <c r="G449" s="17" t="str">
        <f>G440</f>
        <v>COMPENSACIONES</v>
      </c>
      <c r="H449" s="46" t="s">
        <v>10</v>
      </c>
    </row>
    <row r="450" spans="1:8" ht="60" customHeight="1">
      <c r="A450" s="25" t="s">
        <v>332</v>
      </c>
      <c r="B450" s="4" t="s">
        <v>333</v>
      </c>
      <c r="C450" s="18">
        <f>1548*1.04*1.05*1.05</f>
        <v>1774.9368000000002</v>
      </c>
      <c r="D450" s="72"/>
      <c r="E450" s="72">
        <v>175</v>
      </c>
      <c r="F450" s="73"/>
      <c r="G450" s="73"/>
      <c r="H450" s="37">
        <f>C450-D450+E450+G450</f>
        <v>1949.9368000000002</v>
      </c>
    </row>
    <row r="451" spans="1:8" ht="60" customHeight="1">
      <c r="A451" s="25" t="s">
        <v>334</v>
      </c>
      <c r="B451" s="4" t="s">
        <v>333</v>
      </c>
      <c r="C451" s="18">
        <f>1548*1.04*1.05*1.05</f>
        <v>1774.9368000000002</v>
      </c>
      <c r="D451" s="72"/>
      <c r="E451" s="72">
        <v>175</v>
      </c>
      <c r="F451" s="73"/>
      <c r="G451" s="73"/>
      <c r="H451" s="37">
        <f t="shared" ref="H451:H488" si="81">C451-D451+E451+G451</f>
        <v>1949.9368000000002</v>
      </c>
    </row>
    <row r="452" spans="1:8" ht="60" customHeight="1">
      <c r="A452" s="25" t="s">
        <v>335</v>
      </c>
      <c r="B452" s="4" t="s">
        <v>333</v>
      </c>
      <c r="C452" s="18">
        <f>2055*1.04*1.05*1.05</f>
        <v>2356.2630000000004</v>
      </c>
      <c r="D452" s="72"/>
      <c r="E452" s="72">
        <v>167</v>
      </c>
      <c r="F452" s="73"/>
      <c r="G452" s="73"/>
      <c r="H452" s="37">
        <f t="shared" si="81"/>
        <v>2523.2630000000004</v>
      </c>
    </row>
    <row r="453" spans="1:8" ht="60" customHeight="1">
      <c r="A453" s="25" t="s">
        <v>336</v>
      </c>
      <c r="B453" s="4" t="s">
        <v>333</v>
      </c>
      <c r="C453" s="18">
        <f>3114*1.04*1.05*1.05</f>
        <v>3570.5124000000005</v>
      </c>
      <c r="D453" s="72"/>
      <c r="E453" s="72">
        <v>142</v>
      </c>
      <c r="F453" s="73"/>
      <c r="G453" s="73"/>
      <c r="H453" s="37">
        <f t="shared" si="81"/>
        <v>3712.5124000000005</v>
      </c>
    </row>
    <row r="454" spans="1:8" ht="60" customHeight="1">
      <c r="A454" s="25" t="s">
        <v>337</v>
      </c>
      <c r="B454" s="4" t="s">
        <v>333</v>
      </c>
      <c r="C454" s="18">
        <f>1377*1.04*1.05*1.05</f>
        <v>1578.8682000000003</v>
      </c>
      <c r="D454" s="72"/>
      <c r="E454" s="72">
        <v>175</v>
      </c>
      <c r="F454" s="73"/>
      <c r="G454" s="73"/>
      <c r="H454" s="37">
        <f t="shared" si="81"/>
        <v>1753.8682000000003</v>
      </c>
    </row>
    <row r="455" spans="1:8" ht="60" customHeight="1">
      <c r="A455" s="25" t="s">
        <v>338</v>
      </c>
      <c r="B455" s="4" t="s">
        <v>333</v>
      </c>
      <c r="C455" s="18">
        <f>3616*1.04*1.05*1.05</f>
        <v>4146.1056000000008</v>
      </c>
      <c r="D455" s="72"/>
      <c r="E455" s="72">
        <v>129</v>
      </c>
      <c r="F455" s="73"/>
      <c r="G455" s="73"/>
      <c r="H455" s="37">
        <f t="shared" si="81"/>
        <v>4275.1056000000008</v>
      </c>
    </row>
    <row r="456" spans="1:8" ht="60" customHeight="1">
      <c r="A456" s="25" t="s">
        <v>339</v>
      </c>
      <c r="B456" s="4" t="s">
        <v>333</v>
      </c>
      <c r="C456" s="18">
        <f>4415*1.04*1.05*1.05</f>
        <v>5062.2390000000005</v>
      </c>
      <c r="D456" s="72"/>
      <c r="E456" s="72">
        <v>90</v>
      </c>
      <c r="F456" s="73"/>
      <c r="G456" s="73"/>
      <c r="H456" s="37">
        <f t="shared" si="81"/>
        <v>5152.2390000000005</v>
      </c>
    </row>
    <row r="457" spans="1:8" ht="60" customHeight="1">
      <c r="A457" s="25" t="s">
        <v>340</v>
      </c>
      <c r="B457" s="4" t="s">
        <v>333</v>
      </c>
      <c r="C457" s="18">
        <f>4946.24*1.05*1.05</f>
        <v>5453.2295999999997</v>
      </c>
      <c r="D457" s="72"/>
      <c r="E457" s="72">
        <v>90</v>
      </c>
      <c r="F457" s="73"/>
      <c r="G457" s="73"/>
      <c r="H457" s="37">
        <f t="shared" si="81"/>
        <v>5543.2295999999997</v>
      </c>
    </row>
    <row r="458" spans="1:8" ht="60" customHeight="1">
      <c r="A458" s="25" t="s">
        <v>341</v>
      </c>
      <c r="B458" s="4" t="s">
        <v>333</v>
      </c>
      <c r="C458" s="18">
        <f>4415*1.04*1.05*1.05</f>
        <v>5062.2390000000005</v>
      </c>
      <c r="D458" s="72"/>
      <c r="E458" s="72">
        <v>90</v>
      </c>
      <c r="F458" s="73"/>
      <c r="G458" s="73"/>
      <c r="H458" s="37">
        <f t="shared" si="81"/>
        <v>5152.2390000000005</v>
      </c>
    </row>
    <row r="459" spans="1:8" ht="60" customHeight="1">
      <c r="A459" s="25" t="s">
        <v>342</v>
      </c>
      <c r="B459" s="4" t="s">
        <v>333</v>
      </c>
      <c r="C459" s="18">
        <f>4415*1.04*1.05*1.05</f>
        <v>5062.2390000000005</v>
      </c>
      <c r="D459" s="72"/>
      <c r="E459" s="72">
        <v>90</v>
      </c>
      <c r="F459" s="73"/>
      <c r="G459" s="73"/>
      <c r="H459" s="37">
        <f t="shared" si="81"/>
        <v>5152.2390000000005</v>
      </c>
    </row>
    <row r="460" spans="1:8" ht="60" customHeight="1">
      <c r="A460" s="25" t="s">
        <v>343</v>
      </c>
      <c r="B460" s="4" t="s">
        <v>333</v>
      </c>
      <c r="C460" s="18">
        <f>4415*1.04*1.05*1.05</f>
        <v>5062.2390000000005</v>
      </c>
      <c r="D460" s="72"/>
      <c r="E460" s="72">
        <v>90</v>
      </c>
      <c r="F460" s="73"/>
      <c r="G460" s="73"/>
      <c r="H460" s="37">
        <f t="shared" si="81"/>
        <v>5152.2390000000005</v>
      </c>
    </row>
    <row r="461" spans="1:8" ht="60" customHeight="1">
      <c r="A461" s="25" t="s">
        <v>344</v>
      </c>
      <c r="B461" s="4" t="s">
        <v>333</v>
      </c>
      <c r="C461" s="18">
        <f>4067*1.04*1.05*1.05</f>
        <v>4663.2222000000011</v>
      </c>
      <c r="D461" s="72"/>
      <c r="E461" s="72">
        <v>111</v>
      </c>
      <c r="F461" s="73"/>
      <c r="G461" s="73"/>
      <c r="H461" s="37">
        <f t="shared" si="81"/>
        <v>4774.2222000000011</v>
      </c>
    </row>
    <row r="462" spans="1:8" ht="60" customHeight="1">
      <c r="A462" s="25" t="s">
        <v>345</v>
      </c>
      <c r="B462" s="4" t="s">
        <v>333</v>
      </c>
      <c r="C462" s="18">
        <f>3026*1.04*1.05*1.05</f>
        <v>3469.6116000000006</v>
      </c>
      <c r="D462" s="72"/>
      <c r="E462" s="72">
        <v>142</v>
      </c>
      <c r="F462" s="28"/>
      <c r="G462" s="73"/>
      <c r="H462" s="37">
        <f t="shared" si="81"/>
        <v>3611.6116000000006</v>
      </c>
    </row>
    <row r="463" spans="1:8" ht="60" customHeight="1">
      <c r="A463" s="25" t="s">
        <v>346</v>
      </c>
      <c r="B463" s="4" t="s">
        <v>333</v>
      </c>
      <c r="C463" s="18">
        <f>4415*1.04*1.05*1.05</f>
        <v>5062.2390000000005</v>
      </c>
      <c r="D463" s="72"/>
      <c r="E463" s="72">
        <v>90</v>
      </c>
      <c r="F463" s="28"/>
      <c r="G463" s="73"/>
      <c r="H463" s="37">
        <f t="shared" si="81"/>
        <v>5152.2390000000005</v>
      </c>
    </row>
    <row r="464" spans="1:8" ht="60" customHeight="1">
      <c r="A464" s="25" t="s">
        <v>347</v>
      </c>
      <c r="B464" s="4" t="s">
        <v>333</v>
      </c>
      <c r="C464" s="18">
        <f>3742*1.04*1.05*1.05</f>
        <v>4290.5772000000006</v>
      </c>
      <c r="D464" s="72"/>
      <c r="E464" s="72">
        <v>129</v>
      </c>
      <c r="F464" s="28"/>
      <c r="G464" s="73"/>
      <c r="H464" s="37">
        <f t="shared" si="81"/>
        <v>4419.5772000000006</v>
      </c>
    </row>
    <row r="465" spans="1:8" ht="60" customHeight="1">
      <c r="A465" s="25" t="s">
        <v>348</v>
      </c>
      <c r="B465" s="4" t="s">
        <v>333</v>
      </c>
      <c r="C465" s="18">
        <f>8202*1.04*1.05*1.05</f>
        <v>9404.4132000000009</v>
      </c>
      <c r="D465" s="72"/>
      <c r="E465" s="72"/>
      <c r="F465" s="28"/>
      <c r="G465" s="73"/>
      <c r="H465" s="37">
        <f t="shared" si="81"/>
        <v>9404.4132000000009</v>
      </c>
    </row>
    <row r="466" spans="1:8" ht="60" customHeight="1">
      <c r="A466" s="25" t="s">
        <v>349</v>
      </c>
      <c r="B466" s="4" t="s">
        <v>333</v>
      </c>
      <c r="C466" s="18">
        <f>2651*1.04*1.05*1.05</f>
        <v>3039.6366000000003</v>
      </c>
      <c r="D466" s="72"/>
      <c r="E466" s="72">
        <v>142</v>
      </c>
      <c r="F466" s="28"/>
      <c r="G466" s="73"/>
      <c r="H466" s="37">
        <f t="shared" si="81"/>
        <v>3181.6366000000003</v>
      </c>
    </row>
    <row r="467" spans="1:8" ht="60" customHeight="1">
      <c r="A467" s="6" t="s">
        <v>350</v>
      </c>
      <c r="B467" s="4" t="s">
        <v>333</v>
      </c>
      <c r="C467" s="18">
        <f>4415*1.04*1.05*1.05</f>
        <v>5062.2390000000005</v>
      </c>
      <c r="D467" s="37"/>
      <c r="E467" s="37">
        <v>90</v>
      </c>
      <c r="F467" s="29"/>
      <c r="G467" s="73"/>
      <c r="H467" s="37">
        <f t="shared" si="81"/>
        <v>5152.2390000000005</v>
      </c>
    </row>
    <row r="468" spans="1:8" ht="60" customHeight="1">
      <c r="A468" s="25" t="s">
        <v>351</v>
      </c>
      <c r="B468" s="25" t="s">
        <v>352</v>
      </c>
      <c r="C468" s="18">
        <f>3784*1.04*1.05*1.05</f>
        <v>4338.7344000000012</v>
      </c>
      <c r="D468" s="140"/>
      <c r="E468" s="140">
        <v>90</v>
      </c>
      <c r="F468" s="141"/>
      <c r="G468" s="73"/>
      <c r="H468" s="37">
        <f t="shared" si="81"/>
        <v>4428.7344000000012</v>
      </c>
    </row>
    <row r="469" spans="1:8" ht="60" customHeight="1">
      <c r="A469" s="25" t="s">
        <v>353</v>
      </c>
      <c r="B469" s="25" t="s">
        <v>352</v>
      </c>
      <c r="C469" s="18">
        <f>3312*1.04*1.05*1.05</f>
        <v>3797.5392000000002</v>
      </c>
      <c r="D469" s="140"/>
      <c r="E469" s="140">
        <v>138</v>
      </c>
      <c r="F469" s="141"/>
      <c r="G469" s="73"/>
      <c r="H469" s="37">
        <f t="shared" si="81"/>
        <v>3935.5392000000002</v>
      </c>
    </row>
    <row r="470" spans="1:8" ht="60" customHeight="1">
      <c r="A470" s="122" t="s">
        <v>354</v>
      </c>
      <c r="B470" s="7" t="s">
        <v>352</v>
      </c>
      <c r="C470" s="204">
        <f>3709*1.04*1.05*1.05</f>
        <v>4252.7394000000004</v>
      </c>
      <c r="D470" s="134"/>
      <c r="E470" s="134">
        <v>129</v>
      </c>
      <c r="F470" s="135"/>
      <c r="G470" s="73"/>
      <c r="H470" s="37">
        <f t="shared" si="81"/>
        <v>4381.7394000000004</v>
      </c>
    </row>
    <row r="471" spans="1:8" ht="60" customHeight="1">
      <c r="A471" s="25" t="s">
        <v>355</v>
      </c>
      <c r="B471" s="25" t="s">
        <v>356</v>
      </c>
      <c r="C471" s="18">
        <f>2646*1.04*1.05*1.05</f>
        <v>3033.9036000000006</v>
      </c>
      <c r="D471" s="37"/>
      <c r="E471" s="37">
        <v>129</v>
      </c>
      <c r="F471" s="29"/>
      <c r="G471" s="73"/>
      <c r="H471" s="37">
        <f t="shared" si="81"/>
        <v>3162.9036000000006</v>
      </c>
    </row>
    <row r="472" spans="1:8" ht="60" customHeight="1">
      <c r="A472" s="25" t="s">
        <v>357</v>
      </c>
      <c r="B472" s="25" t="s">
        <v>356</v>
      </c>
      <c r="C472" s="18">
        <f>4403*1.04*1.05*1.05</f>
        <v>5048.4798000000001</v>
      </c>
      <c r="D472" s="37"/>
      <c r="E472" s="37">
        <v>90</v>
      </c>
      <c r="F472" s="29"/>
      <c r="G472" s="73"/>
      <c r="H472" s="37">
        <f t="shared" si="81"/>
        <v>5138.4798000000001</v>
      </c>
    </row>
    <row r="473" spans="1:8" ht="60" customHeight="1">
      <c r="A473" s="25" t="s">
        <v>358</v>
      </c>
      <c r="B473" s="25" t="s">
        <v>352</v>
      </c>
      <c r="C473" s="18">
        <f>4067*1.04*1.05*1.05</f>
        <v>4663.2222000000011</v>
      </c>
      <c r="D473" s="72"/>
      <c r="E473" s="72">
        <v>111</v>
      </c>
      <c r="F473" s="28"/>
      <c r="G473" s="73"/>
      <c r="H473" s="37">
        <f t="shared" si="81"/>
        <v>4774.2222000000011</v>
      </c>
    </row>
    <row r="474" spans="1:8" ht="60" customHeight="1">
      <c r="A474" s="25" t="s">
        <v>359</v>
      </c>
      <c r="B474" s="132" t="s">
        <v>356</v>
      </c>
      <c r="C474" s="18">
        <f>7215*1.04*1.05*1.05</f>
        <v>8272.719000000001</v>
      </c>
      <c r="D474" s="37"/>
      <c r="E474" s="37"/>
      <c r="F474" s="29"/>
      <c r="G474" s="73"/>
      <c r="H474" s="37">
        <f t="shared" si="81"/>
        <v>8272.719000000001</v>
      </c>
    </row>
    <row r="475" spans="1:8" ht="60" customHeight="1">
      <c r="A475" s="6" t="s">
        <v>360</v>
      </c>
      <c r="B475" s="25" t="s">
        <v>356</v>
      </c>
      <c r="C475" s="18">
        <f>4415*1.04*1.05*1.05</f>
        <v>5062.2390000000005</v>
      </c>
      <c r="D475" s="134"/>
      <c r="E475" s="134">
        <v>90</v>
      </c>
      <c r="F475" s="135"/>
      <c r="G475" s="73"/>
      <c r="H475" s="37">
        <f t="shared" si="81"/>
        <v>5152.2390000000005</v>
      </c>
    </row>
    <row r="476" spans="1:8" ht="60" customHeight="1">
      <c r="A476" s="6" t="s">
        <v>361</v>
      </c>
      <c r="B476" s="25" t="s">
        <v>352</v>
      </c>
      <c r="C476" s="18">
        <f>6515*1.04*1.05*1.05</f>
        <v>7470.0990000000011</v>
      </c>
      <c r="D476" s="134"/>
      <c r="E476" s="134"/>
      <c r="F476" s="135"/>
      <c r="G476" s="73"/>
      <c r="H476" s="37">
        <f t="shared" si="81"/>
        <v>7470.0990000000011</v>
      </c>
    </row>
    <row r="477" spans="1:8" ht="60" customHeight="1">
      <c r="A477" s="6" t="s">
        <v>362</v>
      </c>
      <c r="B477" s="25" t="s">
        <v>352</v>
      </c>
      <c r="C477" s="18">
        <f>7215*1.04*1.05*1.05</f>
        <v>8272.719000000001</v>
      </c>
      <c r="D477" s="134"/>
      <c r="E477" s="134"/>
      <c r="F477" s="135"/>
      <c r="G477" s="73"/>
      <c r="H477" s="37">
        <f t="shared" si="81"/>
        <v>8272.719000000001</v>
      </c>
    </row>
    <row r="478" spans="1:8" ht="60" customHeight="1">
      <c r="A478" s="25" t="s">
        <v>363</v>
      </c>
      <c r="B478" s="132" t="s">
        <v>352</v>
      </c>
      <c r="C478" s="18">
        <f>6335*1.04*1.05*1.05</f>
        <v>7263.7110000000011</v>
      </c>
      <c r="D478" s="134"/>
      <c r="E478" s="134"/>
      <c r="F478" s="135"/>
      <c r="G478" s="73"/>
      <c r="H478" s="37">
        <f t="shared" si="81"/>
        <v>7263.7110000000011</v>
      </c>
    </row>
    <row r="479" spans="1:8" ht="60" customHeight="1">
      <c r="A479" s="25" t="s">
        <v>364</v>
      </c>
      <c r="B479" s="6" t="s">
        <v>352</v>
      </c>
      <c r="C479" s="18">
        <f>4817*1.04*1.05*1.05</f>
        <v>5523.1722000000009</v>
      </c>
      <c r="D479" s="37"/>
      <c r="E479" s="134"/>
      <c r="F479" s="135"/>
      <c r="G479" s="73"/>
      <c r="H479" s="37">
        <f t="shared" si="81"/>
        <v>5523.1722000000009</v>
      </c>
    </row>
    <row r="480" spans="1:8" ht="60" customHeight="1">
      <c r="A480" s="25" t="s">
        <v>365</v>
      </c>
      <c r="B480" s="6" t="s">
        <v>366</v>
      </c>
      <c r="C480" s="18">
        <f>8886*1.04*1.05*1.05</f>
        <v>10188.687600000001</v>
      </c>
      <c r="D480" s="37"/>
      <c r="E480" s="134"/>
      <c r="F480" s="135"/>
      <c r="G480" s="73"/>
      <c r="H480" s="37">
        <f t="shared" si="81"/>
        <v>10188.687600000001</v>
      </c>
    </row>
    <row r="481" spans="1:8" ht="60" customHeight="1">
      <c r="A481" s="25" t="s">
        <v>367</v>
      </c>
      <c r="B481" s="6" t="s">
        <v>366</v>
      </c>
      <c r="C481" s="18">
        <f>6019*1.04*1.05*1.05</f>
        <v>6901.385400000001</v>
      </c>
      <c r="D481" s="37"/>
      <c r="E481" s="134"/>
      <c r="F481" s="135"/>
      <c r="G481" s="73"/>
      <c r="H481" s="37">
        <f t="shared" si="81"/>
        <v>6901.385400000001</v>
      </c>
    </row>
    <row r="482" spans="1:8" ht="60" customHeight="1">
      <c r="A482" s="25" t="s">
        <v>368</v>
      </c>
      <c r="B482" s="6" t="s">
        <v>366</v>
      </c>
      <c r="C482" s="18">
        <f>6338*1.04*1.05*1.05</f>
        <v>7267.1508000000003</v>
      </c>
      <c r="D482" s="37"/>
      <c r="E482" s="134"/>
      <c r="F482" s="135"/>
      <c r="G482" s="73"/>
      <c r="H482" s="37">
        <f t="shared" si="81"/>
        <v>7267.1508000000003</v>
      </c>
    </row>
    <row r="483" spans="1:8" ht="60" customHeight="1">
      <c r="A483" s="25" t="s">
        <v>369</v>
      </c>
      <c r="B483" s="6" t="s">
        <v>366</v>
      </c>
      <c r="C483" s="18">
        <f>2891*1.04*1.05*1.05</f>
        <v>3314.8206000000009</v>
      </c>
      <c r="D483" s="37"/>
      <c r="E483" s="134">
        <v>90</v>
      </c>
      <c r="F483" s="135"/>
      <c r="G483" s="73"/>
      <c r="H483" s="37">
        <f t="shared" si="81"/>
        <v>3404.8206000000009</v>
      </c>
    </row>
    <row r="484" spans="1:8" ht="60" customHeight="1">
      <c r="A484" s="25" t="s">
        <v>370</v>
      </c>
      <c r="B484" s="6" t="s">
        <v>366</v>
      </c>
      <c r="C484" s="18">
        <f>4707*1.04*1.05*1.05</f>
        <v>5397.0461999999998</v>
      </c>
      <c r="D484" s="37"/>
      <c r="E484" s="134">
        <v>90</v>
      </c>
      <c r="F484" s="135"/>
      <c r="G484" s="73"/>
      <c r="H484" s="37">
        <f t="shared" si="81"/>
        <v>5487.0461999999998</v>
      </c>
    </row>
    <row r="485" spans="1:8" ht="60" customHeight="1">
      <c r="A485" s="6" t="s">
        <v>371</v>
      </c>
      <c r="B485" s="6" t="s">
        <v>372</v>
      </c>
      <c r="C485" s="18">
        <f>6035*1.04*1.05*1.05</f>
        <v>6919.7310000000016</v>
      </c>
      <c r="D485" s="37"/>
      <c r="E485" s="134"/>
      <c r="F485" s="135"/>
      <c r="G485" s="73"/>
      <c r="H485" s="37">
        <f t="shared" si="81"/>
        <v>6919.7310000000016</v>
      </c>
    </row>
    <row r="486" spans="1:8" ht="60" customHeight="1">
      <c r="A486" s="25" t="s">
        <v>373</v>
      </c>
      <c r="B486" s="6" t="s">
        <v>372</v>
      </c>
      <c r="C486" s="18">
        <f>4985.28/2*1.05*1.05</f>
        <v>2748.1356000000001</v>
      </c>
      <c r="D486" s="37"/>
      <c r="E486" s="134"/>
      <c r="F486" s="135"/>
      <c r="G486" s="73"/>
      <c r="H486" s="37">
        <f t="shared" si="81"/>
        <v>2748.1356000000001</v>
      </c>
    </row>
    <row r="487" spans="1:8" ht="60" customHeight="1">
      <c r="A487" s="24" t="s">
        <v>374</v>
      </c>
      <c r="B487" s="6" t="s">
        <v>372</v>
      </c>
      <c r="C487" s="18">
        <f>6173.44/2*1.05*1.05</f>
        <v>3403.1088</v>
      </c>
      <c r="D487" s="37"/>
      <c r="E487" s="134"/>
      <c r="F487" s="135"/>
      <c r="G487" s="73"/>
      <c r="H487" s="37">
        <f t="shared" si="81"/>
        <v>3403.1088</v>
      </c>
    </row>
    <row r="488" spans="1:8" ht="60" customHeight="1">
      <c r="A488" s="25" t="s">
        <v>375</v>
      </c>
      <c r="B488" s="6" t="s">
        <v>366</v>
      </c>
      <c r="C488" s="18">
        <f>3018*1.04*1.05*1.05</f>
        <v>3460.4388000000004</v>
      </c>
      <c r="D488" s="37"/>
      <c r="E488" s="134">
        <v>90</v>
      </c>
      <c r="F488" s="135"/>
      <c r="G488" s="73"/>
      <c r="H488" s="37">
        <f t="shared" si="81"/>
        <v>3550.4388000000004</v>
      </c>
    </row>
    <row r="489" spans="1:8" ht="48.95" customHeight="1">
      <c r="A489" s="68"/>
      <c r="B489" s="205" t="s">
        <v>376</v>
      </c>
      <c r="C489" s="206">
        <f t="shared" ref="C489:H489" si="82">SUM(C450:C488)</f>
        <v>192495.52980000005</v>
      </c>
      <c r="D489" s="206">
        <f t="shared" si="82"/>
        <v>0</v>
      </c>
      <c r="E489" s="206">
        <f t="shared" si="82"/>
        <v>3164</v>
      </c>
      <c r="F489" s="139">
        <f t="shared" si="82"/>
        <v>0</v>
      </c>
      <c r="G489" s="209">
        <f t="shared" si="82"/>
        <v>0</v>
      </c>
      <c r="H489" s="206">
        <f t="shared" si="82"/>
        <v>195659.52980000008</v>
      </c>
    </row>
    <row r="490" spans="1:8" ht="15" customHeight="1">
      <c r="A490" s="245"/>
      <c r="B490" s="245"/>
      <c r="C490" s="245"/>
      <c r="D490" s="245"/>
      <c r="E490" s="245"/>
      <c r="F490" s="246"/>
      <c r="G490" s="246"/>
      <c r="H490" s="245"/>
    </row>
    <row r="491" spans="1:8" ht="48" customHeight="1">
      <c r="A491" s="25" t="s">
        <v>377</v>
      </c>
      <c r="B491" s="25" t="s">
        <v>378</v>
      </c>
      <c r="C491" s="18">
        <f>1625*1.04*1.05*1.05</f>
        <v>1863.2250000000001</v>
      </c>
      <c r="D491" s="72"/>
      <c r="E491" s="72">
        <v>175</v>
      </c>
      <c r="F491" s="28"/>
      <c r="G491" s="73"/>
      <c r="H491" s="37">
        <f>C491-D491+E491+G491</f>
        <v>2038.2250000000001</v>
      </c>
    </row>
    <row r="492" spans="1:8" ht="51" customHeight="1">
      <c r="A492" s="25" t="s">
        <v>379</v>
      </c>
      <c r="B492" s="25" t="s">
        <v>378</v>
      </c>
      <c r="C492" s="18">
        <f>1625*1.04*1.05*1.05</f>
        <v>1863.2250000000001</v>
      </c>
      <c r="D492" s="72"/>
      <c r="E492" s="72">
        <v>175</v>
      </c>
      <c r="F492" s="28"/>
      <c r="G492" s="73"/>
      <c r="H492" s="37">
        <f>C492-D492+E492+G492</f>
        <v>2038.2250000000001</v>
      </c>
    </row>
    <row r="493" spans="1:8" ht="51" customHeight="1">
      <c r="A493" s="25" t="s">
        <v>380</v>
      </c>
      <c r="B493" s="25" t="s">
        <v>378</v>
      </c>
      <c r="C493" s="18">
        <f>1625*1.04*1.05*1.05</f>
        <v>1863.2250000000001</v>
      </c>
      <c r="D493" s="72"/>
      <c r="E493" s="72">
        <v>175</v>
      </c>
      <c r="F493" s="28"/>
      <c r="G493" s="73"/>
      <c r="H493" s="37">
        <f t="shared" ref="H493:H497" si="83">C493-D493+E493+G493</f>
        <v>2038.2250000000001</v>
      </c>
    </row>
    <row r="494" spans="1:8" ht="51" customHeight="1">
      <c r="A494" s="25" t="s">
        <v>381</v>
      </c>
      <c r="B494" s="25" t="s">
        <v>378</v>
      </c>
      <c r="C494" s="18">
        <f>611*1.04*1.05*1.05</f>
        <v>700.57260000000019</v>
      </c>
      <c r="D494" s="72"/>
      <c r="E494" s="72">
        <v>175</v>
      </c>
      <c r="F494" s="73"/>
      <c r="G494" s="73"/>
      <c r="H494" s="37">
        <f t="shared" si="83"/>
        <v>875.57260000000019</v>
      </c>
    </row>
    <row r="495" spans="1:8" ht="51" customHeight="1">
      <c r="A495" s="24" t="s">
        <v>382</v>
      </c>
      <c r="B495" s="25" t="s">
        <v>378</v>
      </c>
      <c r="C495" s="18">
        <f>3778.88/2*1.05*1.05</f>
        <v>2083.1076000000003</v>
      </c>
      <c r="D495" s="72"/>
      <c r="E495" s="72"/>
      <c r="F495" s="73"/>
      <c r="G495" s="73"/>
      <c r="H495" s="37">
        <f t="shared" si="83"/>
        <v>2083.1076000000003</v>
      </c>
    </row>
    <row r="496" spans="1:8" s="30" customFormat="1" ht="51" customHeight="1">
      <c r="A496" s="5" t="s">
        <v>383</v>
      </c>
      <c r="B496" s="4" t="s">
        <v>283</v>
      </c>
      <c r="C496" s="18">
        <f>3994.1*1.05</f>
        <v>4193.8050000000003</v>
      </c>
      <c r="D496" s="18"/>
      <c r="E496" s="37"/>
      <c r="F496" s="29"/>
      <c r="G496" s="73"/>
      <c r="H496" s="37">
        <f t="shared" si="83"/>
        <v>4193.8050000000003</v>
      </c>
    </row>
    <row r="497" spans="1:14" s="30" customFormat="1" ht="51" customHeight="1">
      <c r="A497" s="6" t="s">
        <v>384</v>
      </c>
      <c r="B497" s="25" t="s">
        <v>385</v>
      </c>
      <c r="C497" s="18">
        <f>4079*1.04*1.05*1.05</f>
        <v>4676.9814000000006</v>
      </c>
      <c r="D497" s="37"/>
      <c r="E497" s="37">
        <v>90</v>
      </c>
      <c r="F497" s="29"/>
      <c r="G497" s="73"/>
      <c r="H497" s="37">
        <f t="shared" si="83"/>
        <v>4766.9814000000006</v>
      </c>
    </row>
    <row r="498" spans="1:14" ht="33" customHeight="1">
      <c r="A498" s="51"/>
      <c r="B498" s="64" t="s">
        <v>386</v>
      </c>
      <c r="C498" s="117">
        <f t="shared" ref="C498:H498" si="84">SUM(C491:C497)</f>
        <v>17244.141600000003</v>
      </c>
      <c r="D498" s="117">
        <f t="shared" si="84"/>
        <v>0</v>
      </c>
      <c r="E498" s="117">
        <f t="shared" si="84"/>
        <v>790</v>
      </c>
      <c r="F498" s="133">
        <f t="shared" si="84"/>
        <v>0</v>
      </c>
      <c r="G498" s="133">
        <f t="shared" ref="G498" si="85">SUM(G491:G497)</f>
        <v>0</v>
      </c>
      <c r="H498" s="117">
        <f t="shared" si="84"/>
        <v>18034.141600000003</v>
      </c>
    </row>
    <row r="499" spans="1:14" ht="32.1" customHeight="1">
      <c r="A499" s="44"/>
      <c r="B499" s="64" t="s">
        <v>387</v>
      </c>
      <c r="C499" s="190">
        <f t="shared" ref="C499:H499" si="86">C489+C498</f>
        <v>209739.67140000005</v>
      </c>
      <c r="D499" s="190">
        <f t="shared" si="86"/>
        <v>0</v>
      </c>
      <c r="E499" s="190">
        <f t="shared" si="86"/>
        <v>3954</v>
      </c>
      <c r="F499" s="196">
        <f t="shared" si="86"/>
        <v>0</v>
      </c>
      <c r="G499" s="196">
        <f t="shared" ref="G499" si="87">G489+G498</f>
        <v>0</v>
      </c>
      <c r="H499" s="190">
        <f t="shared" si="86"/>
        <v>213693.67140000008</v>
      </c>
    </row>
    <row r="500" spans="1:14" ht="15" customHeight="1">
      <c r="A500" s="241"/>
      <c r="B500" s="241"/>
      <c r="C500" s="241"/>
      <c r="D500" s="241"/>
      <c r="E500" s="241"/>
      <c r="F500" s="242"/>
      <c r="G500" s="242"/>
      <c r="H500" s="241"/>
    </row>
    <row r="501" spans="1:14" ht="15" customHeight="1">
      <c r="A501" s="241"/>
      <c r="B501" s="241"/>
      <c r="C501" s="241"/>
      <c r="D501" s="241"/>
      <c r="E501" s="241"/>
      <c r="F501" s="242"/>
      <c r="G501" s="242"/>
      <c r="H501" s="241"/>
    </row>
    <row r="502" spans="1:14" ht="15" customHeight="1">
      <c r="A502" s="252"/>
      <c r="B502" s="252"/>
      <c r="C502" s="252"/>
      <c r="D502" s="252"/>
      <c r="E502" s="252"/>
      <c r="F502" s="253"/>
      <c r="G502" s="253"/>
      <c r="H502" s="252"/>
    </row>
    <row r="503" spans="1:14" ht="15" customHeight="1">
      <c r="A503" s="245"/>
      <c r="B503" s="245"/>
      <c r="C503" s="245"/>
      <c r="D503" s="245"/>
      <c r="E503" s="245"/>
      <c r="F503" s="246"/>
      <c r="G503" s="246"/>
      <c r="H503" s="245"/>
    </row>
    <row r="504" spans="1:14" ht="24.75" customHeight="1">
      <c r="A504" s="46" t="s">
        <v>3</v>
      </c>
      <c r="B504" s="46" t="s">
        <v>4</v>
      </c>
      <c r="C504" s="46" t="s">
        <v>5</v>
      </c>
      <c r="D504" s="46" t="s">
        <v>6</v>
      </c>
      <c r="E504" s="46" t="s">
        <v>7</v>
      </c>
      <c r="F504" s="71" t="s">
        <v>8</v>
      </c>
      <c r="G504" s="17" t="s">
        <v>9</v>
      </c>
      <c r="H504" s="46" t="s">
        <v>10</v>
      </c>
    </row>
    <row r="505" spans="1:14" s="33" customFormat="1" ht="51" customHeight="1">
      <c r="A505" s="25" t="s">
        <v>388</v>
      </c>
      <c r="B505" s="25" t="s">
        <v>389</v>
      </c>
      <c r="C505" s="18">
        <f>2210*1.04*1.05*1.05</f>
        <v>2533.9860000000003</v>
      </c>
      <c r="D505" s="37"/>
      <c r="E505" s="37">
        <v>165</v>
      </c>
      <c r="F505" s="82"/>
      <c r="G505" s="73"/>
      <c r="H505" s="37">
        <f>C505-D505+E505+G505</f>
        <v>2698.9860000000003</v>
      </c>
      <c r="N505" s="33">
        <f>298-46</f>
        <v>252</v>
      </c>
    </row>
    <row r="506" spans="1:14" ht="25.5" customHeight="1">
      <c r="A506" s="44"/>
      <c r="B506" s="11" t="s">
        <v>23</v>
      </c>
      <c r="C506" s="38">
        <f>SUM(C505)</f>
        <v>2533.9860000000003</v>
      </c>
      <c r="D506" s="38">
        <f t="shared" ref="D506:H506" si="88">SUM(D505)</f>
        <v>0</v>
      </c>
      <c r="E506" s="38">
        <f t="shared" si="88"/>
        <v>165</v>
      </c>
      <c r="F506" s="74">
        <f t="shared" si="88"/>
        <v>0</v>
      </c>
      <c r="G506" s="74">
        <f t="shared" si="88"/>
        <v>0</v>
      </c>
      <c r="H506" s="38">
        <f t="shared" si="88"/>
        <v>2698.9860000000003</v>
      </c>
    </row>
    <row r="507" spans="1:14" ht="15" customHeight="1">
      <c r="A507" s="241"/>
      <c r="B507" s="241"/>
      <c r="C507" s="241"/>
      <c r="D507" s="241"/>
      <c r="E507" s="241"/>
      <c r="F507" s="242"/>
      <c r="G507" s="242"/>
      <c r="H507" s="241"/>
    </row>
    <row r="508" spans="1:14" ht="15" customHeight="1">
      <c r="A508" s="243"/>
      <c r="B508" s="243"/>
      <c r="C508" s="243"/>
      <c r="D508" s="243"/>
      <c r="E508" s="243"/>
      <c r="F508" s="244"/>
      <c r="G508" s="244"/>
      <c r="H508" s="243"/>
    </row>
    <row r="509" spans="1:14" ht="15" customHeight="1">
      <c r="A509" s="243"/>
      <c r="B509" s="243"/>
      <c r="C509" s="243"/>
      <c r="D509" s="243"/>
      <c r="E509" s="243"/>
      <c r="F509" s="244"/>
      <c r="G509" s="244"/>
      <c r="H509" s="243"/>
    </row>
    <row r="510" spans="1:14" ht="15" customHeight="1">
      <c r="A510" s="243"/>
      <c r="B510" s="243"/>
      <c r="C510" s="243"/>
      <c r="D510" s="243"/>
      <c r="E510" s="243"/>
      <c r="F510" s="244"/>
      <c r="G510" s="244"/>
      <c r="H510" s="243"/>
    </row>
    <row r="511" spans="1:14" ht="15" customHeight="1">
      <c r="A511" s="245"/>
      <c r="B511" s="245"/>
      <c r="C511" s="245"/>
      <c r="D511" s="245"/>
      <c r="E511" s="245"/>
      <c r="F511" s="246"/>
      <c r="G511" s="246"/>
      <c r="H511" s="245"/>
    </row>
    <row r="512" spans="1:14" ht="15" customHeight="1">
      <c r="A512" s="207" t="s">
        <v>390</v>
      </c>
      <c r="B512" s="208" t="s">
        <v>391</v>
      </c>
      <c r="C512" s="14"/>
      <c r="D512" s="13"/>
      <c r="E512" s="13"/>
      <c r="F512" s="210"/>
      <c r="G512" s="85"/>
      <c r="H512" s="13"/>
    </row>
    <row r="513" spans="1:8" ht="25.5" customHeight="1">
      <c r="A513" s="211" t="s">
        <v>392</v>
      </c>
      <c r="B513" s="212">
        <f>'[3]MADRE BANCO'!$D$412</f>
        <v>0</v>
      </c>
      <c r="C513" s="213"/>
    </row>
    <row r="514" spans="1:8" ht="25.5" customHeight="1">
      <c r="A514" s="214" t="s">
        <v>393</v>
      </c>
      <c r="B514" s="212">
        <f>'[4]MADRE BANCO'!$D$428</f>
        <v>0</v>
      </c>
      <c r="C514" s="213"/>
      <c r="E514" s="247" t="s">
        <v>394</v>
      </c>
      <c r="F514" s="248"/>
      <c r="G514" s="249"/>
    </row>
    <row r="515" spans="1:8" ht="25.5" customHeight="1">
      <c r="A515" s="215" t="s">
        <v>7</v>
      </c>
      <c r="B515" s="212">
        <f>'[4]MADRE BANCO'!$D$428</f>
        <v>0</v>
      </c>
      <c r="C515" s="216"/>
      <c r="E515" s="226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15" s="227" t="s">
        <v>395</v>
      </c>
      <c r="G515" s="228"/>
    </row>
    <row r="516" spans="1:8" ht="25.5" customHeight="1">
      <c r="A516" s="217" t="s">
        <v>396</v>
      </c>
      <c r="B516" s="218">
        <f>'[4]MADRE BANCO'!$D$428</f>
        <v>0</v>
      </c>
      <c r="C516" s="216"/>
      <c r="E516" s="226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16" s="229" t="s">
        <v>397</v>
      </c>
      <c r="G516" s="228"/>
    </row>
    <row r="517" spans="1:8" ht="25.5" customHeight="1">
      <c r="A517" s="219" t="s">
        <v>9</v>
      </c>
      <c r="B517" s="212">
        <f>'[4]MADRE BANCO'!$D$428</f>
        <v>0</v>
      </c>
      <c r="C517" s="216"/>
      <c r="D517" s="16"/>
      <c r="E517" s="230" t="e">
        <f>#REF!+#REF!+#REF!+#REF!+#REF!+#REF!+#REF!+#REF!+#REF!+#REF!+#REF!+#REF!+#REF!+#REF!+#REF!+#REF!+#REF!+#REF!+#REF!+#REF!+#REF!+#REF!+#REF!+#REF!+#REF!+#REF!+#REF!+#REF!+#REF!+#REF!+#REF!+#REF!+#REF!+#REF!+#REF!</f>
        <v>#REF!</v>
      </c>
      <c r="F517" s="231" t="s">
        <v>398</v>
      </c>
      <c r="G517" s="232"/>
    </row>
    <row r="518" spans="1:8" ht="25.5" customHeight="1">
      <c r="A518" s="220" t="s">
        <v>399</v>
      </c>
      <c r="B518" s="221">
        <f>'[4]MADRE BANCO'!$D$428</f>
        <v>0</v>
      </c>
      <c r="C518" s="222"/>
      <c r="D518" s="16"/>
    </row>
    <row r="519" spans="1:8" ht="25.5" customHeight="1">
      <c r="A519" s="15"/>
      <c r="B519" s="191"/>
      <c r="C519" s="16"/>
      <c r="H519" s="225"/>
    </row>
    <row r="520" spans="1:8" ht="18.75" customHeight="1">
      <c r="A520" s="223"/>
      <c r="B520" s="16"/>
      <c r="C520" s="16"/>
      <c r="H520" s="225"/>
    </row>
    <row r="521" spans="1:8" ht="18.75" customHeight="1">
      <c r="A521" s="223"/>
      <c r="B521" s="16"/>
      <c r="C521" s="16"/>
      <c r="E521" s="16"/>
      <c r="F521" s="233"/>
      <c r="G521" s="234"/>
      <c r="H521" s="225"/>
    </row>
    <row r="522" spans="1:8" ht="18.75" customHeight="1">
      <c r="A522" s="223"/>
      <c r="B522" s="16"/>
      <c r="C522" s="16"/>
      <c r="E522" s="16"/>
      <c r="F522" s="233"/>
      <c r="G522" s="234"/>
      <c r="H522" s="225"/>
    </row>
    <row r="523" spans="1:8" ht="18.75" customHeight="1">
      <c r="A523" s="223"/>
      <c r="B523" s="16"/>
      <c r="C523" s="16"/>
      <c r="E523" s="16"/>
      <c r="F523" s="233"/>
      <c r="G523" s="234"/>
      <c r="H523" s="225"/>
    </row>
    <row r="524" spans="1:8" ht="18.75" customHeight="1">
      <c r="A524" s="223"/>
      <c r="B524" s="16"/>
      <c r="C524" s="16"/>
      <c r="D524" s="16"/>
      <c r="E524" s="16"/>
      <c r="F524" s="233"/>
      <c r="G524" s="234"/>
      <c r="H524" s="225"/>
    </row>
    <row r="525" spans="1:8" ht="18.75" customHeight="1">
      <c r="A525" s="223"/>
      <c r="B525" s="16"/>
      <c r="C525" s="16"/>
      <c r="D525" s="16"/>
      <c r="E525" s="16"/>
      <c r="F525" s="233"/>
      <c r="G525" s="234"/>
      <c r="H525" s="225"/>
    </row>
    <row r="526" spans="1:8" ht="18.75" customHeight="1">
      <c r="A526" s="223"/>
      <c r="B526" s="16"/>
      <c r="C526" s="16"/>
      <c r="D526" s="16"/>
      <c r="E526" s="16"/>
      <c r="F526" s="233"/>
      <c r="G526" s="234"/>
      <c r="H526" s="225"/>
    </row>
    <row r="527" spans="1:8" ht="18.75" customHeight="1">
      <c r="A527" s="223"/>
      <c r="B527" s="16"/>
      <c r="C527" s="16"/>
      <c r="D527" s="16"/>
      <c r="E527" s="16"/>
      <c r="F527" s="233"/>
      <c r="G527" s="234"/>
      <c r="H527" s="225"/>
    </row>
    <row r="528" spans="1:8" ht="18.75" customHeight="1">
      <c r="A528" s="223"/>
      <c r="B528" s="16"/>
      <c r="C528" s="16"/>
      <c r="D528" s="16"/>
      <c r="E528" s="16"/>
      <c r="F528" s="233"/>
      <c r="G528" s="234"/>
      <c r="H528" s="225"/>
    </row>
    <row r="529" spans="1:8" ht="18.75" customHeight="1">
      <c r="A529" s="223"/>
      <c r="B529" s="16"/>
      <c r="C529" s="16"/>
      <c r="D529" s="16"/>
      <c r="E529" s="16"/>
      <c r="F529" s="233"/>
      <c r="G529" s="234"/>
      <c r="H529" s="225"/>
    </row>
    <row r="530" spans="1:8" ht="18.75" customHeight="1">
      <c r="A530" s="223"/>
      <c r="B530" s="16"/>
      <c r="C530" s="16"/>
      <c r="D530" s="16"/>
      <c r="E530" s="16"/>
      <c r="F530" s="233"/>
      <c r="G530" s="234"/>
      <c r="H530" s="225"/>
    </row>
    <row r="531" spans="1:8" ht="18.75" customHeight="1">
      <c r="A531" s="223"/>
      <c r="B531" s="16"/>
      <c r="C531" s="16"/>
      <c r="D531" s="16"/>
      <c r="E531" s="16"/>
      <c r="F531" s="233"/>
      <c r="G531" s="234"/>
      <c r="H531" s="225"/>
    </row>
    <row r="532" spans="1:8" ht="18.75" customHeight="1">
      <c r="A532" s="223"/>
      <c r="B532" s="16"/>
      <c r="C532" s="16"/>
      <c r="D532" s="16"/>
      <c r="E532" s="16"/>
      <c r="F532" s="233"/>
      <c r="G532" s="234"/>
      <c r="H532" s="225"/>
    </row>
    <row r="533" spans="1:8" ht="18.75" customHeight="1">
      <c r="A533" s="223"/>
      <c r="B533" s="16"/>
      <c r="C533" s="16"/>
      <c r="D533" s="16"/>
      <c r="E533" s="16"/>
      <c r="F533" s="233"/>
      <c r="G533" s="234"/>
      <c r="H533" s="225"/>
    </row>
    <row r="534" spans="1:8" ht="18.75" customHeight="1">
      <c r="A534" s="223"/>
      <c r="B534" s="16"/>
      <c r="C534" s="16"/>
      <c r="D534" s="235"/>
      <c r="E534" s="16" t="s">
        <v>244</v>
      </c>
      <c r="F534" s="233"/>
      <c r="G534" s="234"/>
      <c r="H534" s="225"/>
    </row>
    <row r="535" spans="1:8" ht="18.75" customHeight="1">
      <c r="A535" s="223"/>
      <c r="B535" s="16"/>
      <c r="C535" s="16"/>
      <c r="D535" s="16"/>
      <c r="E535" s="16"/>
      <c r="F535" s="233"/>
      <c r="G535" s="234"/>
      <c r="H535" s="225"/>
    </row>
    <row r="536" spans="1:8" ht="18.75" customHeight="1">
      <c r="A536" s="223"/>
      <c r="B536" s="16"/>
      <c r="C536" s="16"/>
      <c r="D536" s="16"/>
      <c r="E536" s="16"/>
      <c r="F536" s="233"/>
      <c r="G536" s="234"/>
      <c r="H536" s="225"/>
    </row>
    <row r="537" spans="1:8" ht="18.75" customHeight="1">
      <c r="A537" s="223"/>
      <c r="B537" s="16"/>
      <c r="C537" s="16"/>
      <c r="D537" s="16"/>
      <c r="E537" s="16"/>
      <c r="F537" s="233"/>
      <c r="G537" s="234"/>
      <c r="H537" s="225"/>
    </row>
    <row r="538" spans="1:8" ht="18.75" customHeight="1">
      <c r="A538" s="223"/>
      <c r="B538" s="16"/>
      <c r="C538" s="16"/>
      <c r="D538" s="16"/>
      <c r="E538" s="16"/>
      <c r="F538" s="233"/>
      <c r="G538" s="234"/>
      <c r="H538" s="225"/>
    </row>
    <row r="539" spans="1:8" ht="18.75" customHeight="1">
      <c r="A539" s="223"/>
      <c r="B539" s="16"/>
      <c r="C539" s="16"/>
      <c r="D539" s="16"/>
      <c r="E539" s="16"/>
      <c r="F539" s="233"/>
      <c r="G539" s="234"/>
      <c r="H539" s="225"/>
    </row>
    <row r="540" spans="1:8" ht="18.75" customHeight="1">
      <c r="A540" s="223"/>
      <c r="B540" s="16"/>
      <c r="C540" s="16"/>
      <c r="D540" s="16"/>
      <c r="E540" s="16"/>
      <c r="F540" s="233"/>
      <c r="G540" s="234"/>
      <c r="H540" s="225"/>
    </row>
    <row r="541" spans="1:8" ht="18.75" customHeight="1">
      <c r="A541" s="223"/>
      <c r="B541" s="16"/>
      <c r="C541" s="16"/>
      <c r="D541" s="16"/>
      <c r="E541" s="16"/>
      <c r="F541" s="233"/>
      <c r="G541" s="234"/>
      <c r="H541" s="225"/>
    </row>
    <row r="542" spans="1:8" ht="18.75" customHeight="1">
      <c r="A542" s="223"/>
      <c r="B542" s="16"/>
      <c r="C542" s="16"/>
      <c r="D542" s="16"/>
      <c r="E542" s="16"/>
      <c r="F542" s="233"/>
      <c r="G542" s="234"/>
      <c r="H542" s="225"/>
    </row>
    <row r="543" spans="1:8" ht="18.75" customHeight="1">
      <c r="A543" s="223"/>
      <c r="B543" s="16"/>
      <c r="C543" s="16"/>
      <c r="D543" s="16"/>
      <c r="E543" s="16"/>
      <c r="F543" s="233"/>
      <c r="G543" s="234"/>
      <c r="H543" s="225"/>
    </row>
    <row r="544" spans="1:8" ht="18.75" customHeight="1">
      <c r="A544" s="223"/>
      <c r="B544" s="16"/>
      <c r="C544" s="16"/>
      <c r="D544" s="16"/>
      <c r="E544" s="16"/>
      <c r="F544" s="233"/>
      <c r="G544" s="234"/>
      <c r="H544" s="225"/>
    </row>
    <row r="545" spans="1:8" ht="18.75" customHeight="1">
      <c r="A545" s="223"/>
      <c r="B545" s="16"/>
      <c r="C545" s="16"/>
      <c r="D545" s="16"/>
      <c r="E545" s="16"/>
      <c r="F545" s="233"/>
      <c r="G545" s="234"/>
      <c r="H545" s="225"/>
    </row>
    <row r="546" spans="1:8" ht="12.75" customHeight="1">
      <c r="A546" s="223"/>
      <c r="B546" s="224"/>
      <c r="C546" s="225"/>
      <c r="D546" s="225"/>
      <c r="E546" s="225"/>
      <c r="F546" s="236"/>
      <c r="G546" s="234"/>
      <c r="H546" s="225"/>
    </row>
    <row r="547" spans="1:8" ht="12.75" customHeight="1">
      <c r="A547" s="223"/>
      <c r="B547" s="224"/>
      <c r="C547" s="225"/>
      <c r="D547" s="224"/>
      <c r="E547" s="225"/>
      <c r="F547" s="236"/>
      <c r="G547" s="234"/>
      <c r="H547" s="225"/>
    </row>
    <row r="548" spans="1:8" ht="12.75" customHeight="1">
      <c r="A548" s="223"/>
      <c r="B548" s="225"/>
      <c r="C548" s="224"/>
      <c r="D548" s="225"/>
      <c r="E548" s="225"/>
      <c r="F548" s="236"/>
      <c r="G548" s="234"/>
      <c r="H548" s="225"/>
    </row>
  </sheetData>
  <autoFilter ref="A5:S111"/>
  <mergeCells count="138">
    <mergeCell ref="A4:H4"/>
    <mergeCell ref="A16:H16"/>
    <mergeCell ref="A17:H17"/>
    <mergeCell ref="A18:H18"/>
    <mergeCell ref="A19:H19"/>
    <mergeCell ref="A23:H23"/>
    <mergeCell ref="A24:H24"/>
    <mergeCell ref="A25:H25"/>
    <mergeCell ref="A26:H26"/>
    <mergeCell ref="A31:H31"/>
    <mergeCell ref="A32:H32"/>
    <mergeCell ref="A33:H33"/>
    <mergeCell ref="A34:H34"/>
    <mergeCell ref="A53:H53"/>
    <mergeCell ref="A58:H58"/>
    <mergeCell ref="A59:H59"/>
    <mergeCell ref="A60:H60"/>
    <mergeCell ref="A61:H61"/>
    <mergeCell ref="A65:H65"/>
    <mergeCell ref="A66:H66"/>
    <mergeCell ref="A67:H67"/>
    <mergeCell ref="A68:H68"/>
    <mergeCell ref="A72:H72"/>
    <mergeCell ref="A73:H73"/>
    <mergeCell ref="A74:H74"/>
    <mergeCell ref="I74:S74"/>
    <mergeCell ref="A75:H75"/>
    <mergeCell ref="A80:H80"/>
    <mergeCell ref="A81:H81"/>
    <mergeCell ref="A82:H82"/>
    <mergeCell ref="A83:H83"/>
    <mergeCell ref="A87:H87"/>
    <mergeCell ref="A88:H88"/>
    <mergeCell ref="A89:H89"/>
    <mergeCell ref="A90:H90"/>
    <mergeCell ref="A100:H100"/>
    <mergeCell ref="A101:H101"/>
    <mergeCell ref="A102:H102"/>
    <mergeCell ref="A103:H103"/>
    <mergeCell ref="A107:H107"/>
    <mergeCell ref="A108:H108"/>
    <mergeCell ref="A109:H109"/>
    <mergeCell ref="A110:H110"/>
    <mergeCell ref="A119:H119"/>
    <mergeCell ref="A120:H120"/>
    <mergeCell ref="A121:H121"/>
    <mergeCell ref="A122:H122"/>
    <mergeCell ref="A131:H131"/>
    <mergeCell ref="A132:H132"/>
    <mergeCell ref="A133:H133"/>
    <mergeCell ref="A134:H134"/>
    <mergeCell ref="A144:H144"/>
    <mergeCell ref="A145:H145"/>
    <mergeCell ref="A146:H146"/>
    <mergeCell ref="A147:H147"/>
    <mergeCell ref="A152:H152"/>
    <mergeCell ref="A153:H153"/>
    <mergeCell ref="A154:H154"/>
    <mergeCell ref="A155:H155"/>
    <mergeCell ref="A160:H160"/>
    <mergeCell ref="A161:H161"/>
    <mergeCell ref="A162:H162"/>
    <mergeCell ref="A163:H163"/>
    <mergeCell ref="A167:H167"/>
    <mergeCell ref="A168:H168"/>
    <mergeCell ref="A169:H169"/>
    <mergeCell ref="A170:H170"/>
    <mergeCell ref="A174:H174"/>
    <mergeCell ref="A175:H175"/>
    <mergeCell ref="A176:H176"/>
    <mergeCell ref="A177:H177"/>
    <mergeCell ref="A200:H200"/>
    <mergeCell ref="A201:H201"/>
    <mergeCell ref="A202:H202"/>
    <mergeCell ref="A203:H203"/>
    <mergeCell ref="A229:H229"/>
    <mergeCell ref="A230:H230"/>
    <mergeCell ref="A231:H231"/>
    <mergeCell ref="A232:H232"/>
    <mergeCell ref="A239:H239"/>
    <mergeCell ref="A240:H240"/>
    <mergeCell ref="A241:H241"/>
    <mergeCell ref="A242:H242"/>
    <mergeCell ref="A248:H248"/>
    <mergeCell ref="A249:H249"/>
    <mergeCell ref="A250:H250"/>
    <mergeCell ref="A251:H251"/>
    <mergeCell ref="A258:H258"/>
    <mergeCell ref="A265:H265"/>
    <mergeCell ref="A277:H277"/>
    <mergeCell ref="A294:H294"/>
    <mergeCell ref="A295:H295"/>
    <mergeCell ref="A296:H296"/>
    <mergeCell ref="A297:H297"/>
    <mergeCell ref="A303:H303"/>
    <mergeCell ref="A304:H304"/>
    <mergeCell ref="A305:H305"/>
    <mergeCell ref="A306:H306"/>
    <mergeCell ref="A310:H310"/>
    <mergeCell ref="A311:H311"/>
    <mergeCell ref="A312:H312"/>
    <mergeCell ref="A313:H313"/>
    <mergeCell ref="A329:H329"/>
    <mergeCell ref="A334:H334"/>
    <mergeCell ref="A344:H344"/>
    <mergeCell ref="A350:H350"/>
    <mergeCell ref="A370:H370"/>
    <mergeCell ref="A381:H381"/>
    <mergeCell ref="A386:H386"/>
    <mergeCell ref="A387:H387"/>
    <mergeCell ref="A400:H400"/>
    <mergeCell ref="A401:H401"/>
    <mergeCell ref="A402:H402"/>
    <mergeCell ref="A403:H403"/>
    <mergeCell ref="A409:H409"/>
    <mergeCell ref="A410:H410"/>
    <mergeCell ref="A411:H411"/>
    <mergeCell ref="A412:H412"/>
    <mergeCell ref="A424:H424"/>
    <mergeCell ref="A425:H425"/>
    <mergeCell ref="A426:H426"/>
    <mergeCell ref="A427:H427"/>
    <mergeCell ref="A439:H439"/>
    <mergeCell ref="A507:H507"/>
    <mergeCell ref="A508:H508"/>
    <mergeCell ref="A509:H509"/>
    <mergeCell ref="A510:H510"/>
    <mergeCell ref="A511:H511"/>
    <mergeCell ref="E514:G514"/>
    <mergeCell ref="A445:H445"/>
    <mergeCell ref="A446:H446"/>
    <mergeCell ref="A447:H447"/>
    <mergeCell ref="A448:H448"/>
    <mergeCell ref="A490:H490"/>
    <mergeCell ref="A500:H500"/>
    <mergeCell ref="A501:H501"/>
    <mergeCell ref="A502:H502"/>
    <mergeCell ref="A503:H503"/>
  </mergeCells>
  <conditionalFormatting sqref="B513:B518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5" right="0.25" top="0.75" bottom="0.75" header="0.29861111111111099" footer="0.29861111111111099"/>
  <pageSetup scale="75" fitToHeight="0" orientation="landscape" horizontalDpi="300" verticalDpi="300" r:id="rId1"/>
  <headerFooter alignWithMargins="0">
    <oddFooter>&amp;C&amp;12&amp;BPagina &amp;P de &amp;N&amp;K09-025
2DA / QUINCENA/ ENERO/2024.</oddFooter>
  </headerFooter>
  <rowBreaks count="60" manualBreakCount="60">
    <brk id="15" max="16383" man="1"/>
    <brk id="22" max="16383" man="1"/>
    <brk id="30" max="16383" man="1"/>
    <brk id="39" max="16383" man="1"/>
    <brk id="39" max="16383" man="1"/>
    <brk id="57" max="16383" man="1"/>
    <brk id="57" max="16383" man="1"/>
    <brk id="71" max="16383" man="1"/>
    <brk id="79" max="16383" man="1"/>
    <brk id="86" max="16383" man="1"/>
    <brk id="99" max="16383" man="1"/>
    <brk id="106" max="16383" man="1"/>
    <brk id="118" max="16383" man="1"/>
    <brk id="130" max="16383" man="1"/>
    <brk id="143" max="16383" man="1"/>
    <brk id="151" max="16383" man="1"/>
    <brk id="159" max="16383" man="1"/>
    <brk id="159" max="16383" man="1"/>
    <brk id="166" max="16383" man="1"/>
    <brk id="173" max="16383" man="1"/>
    <brk id="173" max="16383" man="1"/>
    <brk id="199" max="16383" man="1"/>
    <brk id="199" max="16383" man="1"/>
    <brk id="207" max="16383" man="1"/>
    <brk id="207" max="16383" man="1"/>
    <brk id="228" max="16383" man="1"/>
    <brk id="228" max="16383" man="1"/>
    <brk id="238" max="16383" man="1"/>
    <brk id="238" max="16383" man="1"/>
    <brk id="247" max="16383" man="1"/>
    <brk id="247" max="16383" man="1"/>
    <brk id="257" max="16383" man="1"/>
    <brk id="257" max="16383" man="1"/>
    <brk id="264" max="16383" man="1"/>
    <brk id="264" max="16383" man="1"/>
    <brk id="276" max="16383" man="1"/>
    <brk id="276" max="16383" man="1"/>
    <brk id="293" max="16383" man="1"/>
    <brk id="302" max="16383" man="1"/>
    <brk id="309" max="16383" man="1"/>
    <brk id="328" max="16383" man="1"/>
    <brk id="333" max="16383" man="1"/>
    <brk id="343" max="16383" man="1"/>
    <brk id="349" max="16383" man="1"/>
    <brk id="361" max="16383" man="1"/>
    <brk id="369" max="16383" man="1"/>
    <brk id="380" max="16383" man="1"/>
    <brk id="385" max="16383" man="1"/>
    <brk id="399" max="16383" man="1"/>
    <brk id="408" max="16383" man="1"/>
    <brk id="423" max="16383" man="1"/>
    <brk id="438" max="16383" man="1"/>
    <brk id="444" max="16383" man="1"/>
    <brk id="457" max="16383" man="1"/>
    <brk id="463" max="16383" man="1"/>
    <brk id="489" max="16383" man="1"/>
    <brk id="499" max="16383" man="1"/>
    <brk id="506" max="16383" man="1"/>
    <brk id="518" max="16383" man="1"/>
    <brk id="5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12D44281F4204C2B95BC268BB1072DE1_13</vt:lpwstr>
  </property>
  <property fmtid="{D5CDD505-2E9C-101B-9397-08002B2CF9AE}" pid="3" name="KSOProductBuildVer">
    <vt:lpwstr>2058-12.2.0.13431</vt:lpwstr>
  </property>
</Properties>
</file>