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600" windowHeight="10920" tabRatio="530"/>
  </bookViews>
  <sheets>
    <sheet name="MADRE BANCO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_FilterDatabase" localSheetId="0" hidden="1">'MADRE BANCO'!$A$6:$GV$185</definedName>
    <definedName name="_xlnm.Print_Area" localSheetId="0">'MADRE BANCO'!$A$1:$H$420</definedName>
  </definedNames>
  <calcPr calcId="162913"/>
</workbook>
</file>

<file path=xl/calcChain.xml><?xml version="1.0" encoding="utf-8"?>
<calcChain xmlns="http://schemas.openxmlformats.org/spreadsheetml/2006/main">
  <c r="C252" i="6" l="1"/>
  <c r="H252" i="6" s="1"/>
  <c r="E253" i="6"/>
  <c r="E254" i="6" s="1"/>
  <c r="F253" i="6"/>
  <c r="G253" i="6"/>
  <c r="C200" i="6"/>
  <c r="D190" i="6" l="1"/>
  <c r="C190" i="6"/>
  <c r="C151" i="6" l="1"/>
  <c r="H141" i="6"/>
  <c r="G51" i="6" l="1"/>
  <c r="H51" i="6" s="1"/>
  <c r="H399" i="6" l="1"/>
  <c r="H155" i="6"/>
  <c r="C7" i="6" l="1"/>
  <c r="D7" i="6"/>
  <c r="C8" i="6"/>
  <c r="D8" i="6"/>
  <c r="C9" i="6"/>
  <c r="D9" i="6"/>
  <c r="C10" i="6"/>
  <c r="D10" i="6"/>
  <c r="C11" i="6"/>
  <c r="D11" i="6"/>
  <c r="C12" i="6"/>
  <c r="D12" i="6"/>
  <c r="C13" i="6"/>
  <c r="D13" i="6"/>
  <c r="C14" i="6"/>
  <c r="D14" i="6"/>
  <c r="E15" i="6"/>
  <c r="E16" i="6" s="1"/>
  <c r="G15" i="6"/>
  <c r="G16" i="6" s="1"/>
  <c r="F16" i="6"/>
  <c r="C18" i="6"/>
  <c r="C19" i="6" s="1"/>
  <c r="C20" i="6" s="1"/>
  <c r="D18" i="6"/>
  <c r="D19" i="6" s="1"/>
  <c r="D20" i="6" s="1"/>
  <c r="E19" i="6"/>
  <c r="E20" i="6" s="1"/>
  <c r="F19" i="6"/>
  <c r="F20" i="6" s="1"/>
  <c r="G19" i="6"/>
  <c r="G20" i="6" s="1"/>
  <c r="C22" i="6"/>
  <c r="D22" i="6"/>
  <c r="C23" i="6"/>
  <c r="D23" i="6"/>
  <c r="E24" i="6"/>
  <c r="E25" i="6" s="1"/>
  <c r="F24" i="6"/>
  <c r="F25" i="6" s="1"/>
  <c r="G24" i="6"/>
  <c r="G25" i="6" s="1"/>
  <c r="C27" i="6"/>
  <c r="D27" i="6"/>
  <c r="C28" i="6"/>
  <c r="D28" i="6"/>
  <c r="C29" i="6"/>
  <c r="D29" i="6"/>
  <c r="E30" i="6"/>
  <c r="E31" i="6" s="1"/>
  <c r="F30" i="6"/>
  <c r="F31" i="6" s="1"/>
  <c r="G30" i="6"/>
  <c r="G31" i="6" s="1"/>
  <c r="C33" i="6"/>
  <c r="D33" i="6"/>
  <c r="C34" i="6"/>
  <c r="D34" i="6"/>
  <c r="C35" i="6"/>
  <c r="H35" i="6" s="1"/>
  <c r="C36" i="6"/>
  <c r="D36" i="6"/>
  <c r="C37" i="6"/>
  <c r="D37" i="6"/>
  <c r="C38" i="6"/>
  <c r="H38" i="6" s="1"/>
  <c r="E39" i="6"/>
  <c r="E40" i="6" s="1"/>
  <c r="F39" i="6"/>
  <c r="F40" i="6" s="1"/>
  <c r="G39" i="6"/>
  <c r="G40" i="6" s="1"/>
  <c r="C42" i="6"/>
  <c r="D42" i="6"/>
  <c r="D43" i="6" s="1"/>
  <c r="D44" i="6" s="1"/>
  <c r="B43" i="6"/>
  <c r="E43" i="6"/>
  <c r="E44" i="6" s="1"/>
  <c r="F43" i="6"/>
  <c r="F44" i="6" s="1"/>
  <c r="G43" i="6"/>
  <c r="G44" i="6" s="1"/>
  <c r="C48" i="6"/>
  <c r="C49" i="6" s="1"/>
  <c r="D48" i="6"/>
  <c r="D49" i="6" s="1"/>
  <c r="E48" i="6"/>
  <c r="E49" i="6" s="1"/>
  <c r="F48" i="6"/>
  <c r="F49" i="6" s="1"/>
  <c r="G48" i="6"/>
  <c r="G49" i="6" s="1"/>
  <c r="H48" i="6"/>
  <c r="C52" i="6"/>
  <c r="D53" i="6"/>
  <c r="D54" i="6" s="1"/>
  <c r="E53" i="6"/>
  <c r="E54" i="6" s="1"/>
  <c r="F53" i="6"/>
  <c r="F54" i="6" s="1"/>
  <c r="C56" i="6"/>
  <c r="C57" i="6" s="1"/>
  <c r="C58" i="6" s="1"/>
  <c r="D56" i="6"/>
  <c r="D57" i="6" s="1"/>
  <c r="D58" i="6" s="1"/>
  <c r="E57" i="6"/>
  <c r="E58" i="6" s="1"/>
  <c r="F57" i="6"/>
  <c r="F58" i="6" s="1"/>
  <c r="G57" i="6"/>
  <c r="G58" i="6" s="1"/>
  <c r="D61" i="6"/>
  <c r="D62" i="6" s="1"/>
  <c r="E61" i="6"/>
  <c r="E62" i="6" s="1"/>
  <c r="F61" i="6"/>
  <c r="F62" i="6" s="1"/>
  <c r="C64" i="6"/>
  <c r="C60" i="6" s="1"/>
  <c r="D64" i="6"/>
  <c r="C65" i="6"/>
  <c r="D65" i="6"/>
  <c r="C66" i="6"/>
  <c r="C67" i="6"/>
  <c r="C68" i="6"/>
  <c r="C69" i="6"/>
  <c r="C70" i="6"/>
  <c r="D70" i="6"/>
  <c r="E71" i="6"/>
  <c r="E72" i="6" s="1"/>
  <c r="F71" i="6"/>
  <c r="F72" i="6" s="1"/>
  <c r="C74" i="6"/>
  <c r="D75" i="6"/>
  <c r="D76" i="6" s="1"/>
  <c r="E75" i="6"/>
  <c r="E76" i="6" s="1"/>
  <c r="F75" i="6"/>
  <c r="F76" i="6" s="1"/>
  <c r="G75" i="6"/>
  <c r="G76" i="6" s="1"/>
  <c r="C79" i="6"/>
  <c r="D79" i="6"/>
  <c r="D84" i="6" s="1"/>
  <c r="D85" i="6" s="1"/>
  <c r="C80" i="6"/>
  <c r="C81" i="6"/>
  <c r="H81" i="6" s="1"/>
  <c r="C82" i="6"/>
  <c r="H82" i="6" s="1"/>
  <c r="C83" i="6"/>
  <c r="E84" i="6"/>
  <c r="E85" i="6" s="1"/>
  <c r="F84" i="6"/>
  <c r="F85" i="6" s="1"/>
  <c r="C87" i="6"/>
  <c r="C88" i="6"/>
  <c r="D88" i="6"/>
  <c r="C89" i="6"/>
  <c r="C90" i="6"/>
  <c r="C91" i="6"/>
  <c r="C92" i="6"/>
  <c r="E93" i="6"/>
  <c r="E94" i="6" s="1"/>
  <c r="F93" i="6"/>
  <c r="F94" i="6" s="1"/>
  <c r="C96" i="6"/>
  <c r="C97" i="6"/>
  <c r="D97" i="6"/>
  <c r="C98" i="6"/>
  <c r="D98" i="6"/>
  <c r="C99" i="6"/>
  <c r="D99" i="6"/>
  <c r="C100" i="6"/>
  <c r="C101" i="6"/>
  <c r="D101" i="6"/>
  <c r="E102" i="6"/>
  <c r="E103" i="6" s="1"/>
  <c r="F102" i="6"/>
  <c r="F103" i="6" s="1"/>
  <c r="C105" i="6"/>
  <c r="C106" i="6"/>
  <c r="D107" i="6"/>
  <c r="D108" i="6" s="1"/>
  <c r="E107" i="6"/>
  <c r="E108" i="6" s="1"/>
  <c r="F107" i="6"/>
  <c r="F108" i="6" s="1"/>
  <c r="C110" i="6"/>
  <c r="D110" i="6"/>
  <c r="D112" i="6" s="1"/>
  <c r="D113" i="6" s="1"/>
  <c r="C111" i="6"/>
  <c r="E112" i="6"/>
  <c r="E113" i="6" s="1"/>
  <c r="F112" i="6"/>
  <c r="F113" i="6" s="1"/>
  <c r="C115" i="6"/>
  <c r="D115" i="6"/>
  <c r="D116" i="6" s="1"/>
  <c r="D117" i="6" s="1"/>
  <c r="E116" i="6"/>
  <c r="E117" i="6" s="1"/>
  <c r="F116" i="6"/>
  <c r="F117" i="6" s="1"/>
  <c r="H119" i="6"/>
  <c r="C120" i="6"/>
  <c r="C121" i="6" s="1"/>
  <c r="D120" i="6"/>
  <c r="D121" i="6" s="1"/>
  <c r="E120" i="6"/>
  <c r="F120" i="6"/>
  <c r="F121" i="6" s="1"/>
  <c r="G120" i="6"/>
  <c r="G121" i="6" s="1"/>
  <c r="E121" i="6"/>
  <c r="C123" i="6"/>
  <c r="D123" i="6"/>
  <c r="C124" i="6"/>
  <c r="D124" i="6"/>
  <c r="C125" i="6"/>
  <c r="C126" i="6"/>
  <c r="D126" i="6"/>
  <c r="C127" i="6"/>
  <c r="C128" i="6"/>
  <c r="D128" i="6"/>
  <c r="E129" i="6"/>
  <c r="E130" i="6" s="1"/>
  <c r="F129" i="6"/>
  <c r="F130" i="6" s="1"/>
  <c r="C132" i="6"/>
  <c r="D132" i="6"/>
  <c r="C133" i="6"/>
  <c r="D133" i="6"/>
  <c r="C134" i="6"/>
  <c r="D134" i="6"/>
  <c r="C135" i="6"/>
  <c r="D135" i="6"/>
  <c r="C136" i="6"/>
  <c r="D136" i="6"/>
  <c r="C137" i="6"/>
  <c r="D137" i="6"/>
  <c r="C138" i="6"/>
  <c r="D138" i="6"/>
  <c r="C139" i="6"/>
  <c r="D139" i="6"/>
  <c r="C140" i="6"/>
  <c r="D140" i="6"/>
  <c r="C142" i="6"/>
  <c r="D142" i="6"/>
  <c r="E143" i="6"/>
  <c r="E144" i="6" s="1"/>
  <c r="F143" i="6"/>
  <c r="F144" i="6" s="1"/>
  <c r="C146" i="6"/>
  <c r="H146" i="6" s="1"/>
  <c r="D147" i="6"/>
  <c r="D148" i="6" s="1"/>
  <c r="E147" i="6"/>
  <c r="E148" i="6" s="1"/>
  <c r="F147" i="6"/>
  <c r="F148" i="6" s="1"/>
  <c r="G147" i="6"/>
  <c r="G148" i="6" s="1"/>
  <c r="C152" i="6"/>
  <c r="C153" i="6"/>
  <c r="C154" i="6"/>
  <c r="C156" i="6"/>
  <c r="C157" i="6"/>
  <c r="C158" i="6"/>
  <c r="C159" i="6"/>
  <c r="C160" i="6"/>
  <c r="C161" i="6"/>
  <c r="C162" i="6"/>
  <c r="C163" i="6"/>
  <c r="D163" i="6"/>
  <c r="C164" i="6"/>
  <c r="E165" i="6"/>
  <c r="E166" i="6" s="1"/>
  <c r="F165" i="6"/>
  <c r="F166" i="6" s="1"/>
  <c r="C168" i="6"/>
  <c r="C169" i="6"/>
  <c r="D169" i="6"/>
  <c r="D171" i="6" s="1"/>
  <c r="D172" i="6" s="1"/>
  <c r="C170" i="6"/>
  <c r="E171" i="6"/>
  <c r="E172" i="6" s="1"/>
  <c r="F171" i="6"/>
  <c r="C174" i="6"/>
  <c r="D174" i="6"/>
  <c r="D177" i="6" s="1"/>
  <c r="D178" i="6" s="1"/>
  <c r="C175" i="6"/>
  <c r="C176" i="6"/>
  <c r="E177" i="6"/>
  <c r="E178" i="6" s="1"/>
  <c r="F177" i="6"/>
  <c r="F178" i="6" s="1"/>
  <c r="C180" i="6"/>
  <c r="D180" i="6"/>
  <c r="C181" i="6"/>
  <c r="D181" i="6"/>
  <c r="C182" i="6"/>
  <c r="D182" i="6"/>
  <c r="E183" i="6"/>
  <c r="E184" i="6" s="1"/>
  <c r="F183" i="6"/>
  <c r="F184" i="6" s="1"/>
  <c r="C187" i="6"/>
  <c r="D187" i="6"/>
  <c r="C188" i="6"/>
  <c r="D188" i="6"/>
  <c r="C189" i="6"/>
  <c r="D189" i="6"/>
  <c r="C191" i="6"/>
  <c r="D191" i="6"/>
  <c r="E192" i="6"/>
  <c r="E193" i="6" s="1"/>
  <c r="F192" i="6"/>
  <c r="F193" i="6" s="1"/>
  <c r="C195" i="6"/>
  <c r="D195" i="6"/>
  <c r="C196" i="6"/>
  <c r="D196" i="6"/>
  <c r="C197" i="6"/>
  <c r="D197" i="6"/>
  <c r="C198" i="6"/>
  <c r="D198" i="6"/>
  <c r="C199" i="6"/>
  <c r="D199" i="6"/>
  <c r="D200" i="6"/>
  <c r="C201" i="6"/>
  <c r="D201" i="6"/>
  <c r="C202" i="6"/>
  <c r="D202" i="6"/>
  <c r="C203" i="6"/>
  <c r="D203" i="6"/>
  <c r="E204" i="6"/>
  <c r="E205" i="6" s="1"/>
  <c r="F204" i="6"/>
  <c r="F205" i="6" s="1"/>
  <c r="C207" i="6"/>
  <c r="D207" i="6"/>
  <c r="C208" i="6"/>
  <c r="D208" i="6"/>
  <c r="C209" i="6"/>
  <c r="D209" i="6"/>
  <c r="C210" i="6"/>
  <c r="D210" i="6"/>
  <c r="C211" i="6"/>
  <c r="D211" i="6"/>
  <c r="C212" i="6"/>
  <c r="D212" i="6"/>
  <c r="C213" i="6"/>
  <c r="D213" i="6"/>
  <c r="C214" i="6"/>
  <c r="D214" i="6"/>
  <c r="C215" i="6"/>
  <c r="D215" i="6"/>
  <c r="C216" i="6"/>
  <c r="D216" i="6"/>
  <c r="C217" i="6"/>
  <c r="D217" i="6"/>
  <c r="C218" i="6"/>
  <c r="D218" i="6"/>
  <c r="C219" i="6"/>
  <c r="D219" i="6"/>
  <c r="C220" i="6"/>
  <c r="D220" i="6"/>
  <c r="E221" i="6"/>
  <c r="F221" i="6"/>
  <c r="F222" i="6" s="1"/>
  <c r="E222" i="6"/>
  <c r="C224" i="6"/>
  <c r="D224" i="6"/>
  <c r="C225" i="6"/>
  <c r="D225" i="6"/>
  <c r="C226" i="6"/>
  <c r="D226" i="6"/>
  <c r="E227" i="6"/>
  <c r="E228" i="6" s="1"/>
  <c r="F227" i="6"/>
  <c r="F228" i="6" s="1"/>
  <c r="H230" i="6"/>
  <c r="C231" i="6"/>
  <c r="C232" i="6" s="1"/>
  <c r="D231" i="6"/>
  <c r="D232" i="6" s="1"/>
  <c r="E231" i="6"/>
  <c r="E232" i="6" s="1"/>
  <c r="F231" i="6"/>
  <c r="F232" i="6" s="1"/>
  <c r="G231" i="6"/>
  <c r="G232" i="6" s="1"/>
  <c r="C234" i="6"/>
  <c r="D234" i="6"/>
  <c r="C235" i="6"/>
  <c r="D235" i="6"/>
  <c r="C236" i="6"/>
  <c r="D236" i="6"/>
  <c r="C237" i="6"/>
  <c r="D237" i="6"/>
  <c r="C238" i="6"/>
  <c r="C240" i="6"/>
  <c r="D240" i="6"/>
  <c r="C241" i="6"/>
  <c r="D241" i="6"/>
  <c r="C242" i="6"/>
  <c r="C243" i="6"/>
  <c r="C244" i="6"/>
  <c r="C245" i="6"/>
  <c r="C246" i="6"/>
  <c r="E247" i="6"/>
  <c r="E248" i="6" s="1"/>
  <c r="F247" i="6"/>
  <c r="F248" i="6" s="1"/>
  <c r="C251" i="6"/>
  <c r="C253" i="6" s="1"/>
  <c r="C254" i="6" s="1"/>
  <c r="D251" i="6"/>
  <c r="F254" i="6"/>
  <c r="C256" i="6"/>
  <c r="D256" i="6"/>
  <c r="C257" i="6"/>
  <c r="D257" i="6"/>
  <c r="C258" i="6"/>
  <c r="D258" i="6"/>
  <c r="C259" i="6"/>
  <c r="C260" i="6"/>
  <c r="C261" i="6"/>
  <c r="C262" i="6"/>
  <c r="E263" i="6"/>
  <c r="E264" i="6" s="1"/>
  <c r="F263" i="6"/>
  <c r="F264" i="6" s="1"/>
  <c r="C266" i="6"/>
  <c r="D266" i="6"/>
  <c r="C267" i="6"/>
  <c r="D267" i="6"/>
  <c r="C268" i="6"/>
  <c r="E269" i="6"/>
  <c r="E270" i="6" s="1"/>
  <c r="F269" i="6"/>
  <c r="F270" i="6" s="1"/>
  <c r="C272" i="6"/>
  <c r="C273" i="6"/>
  <c r="C274" i="6"/>
  <c r="C275" i="6"/>
  <c r="C276" i="6"/>
  <c r="C277" i="6"/>
  <c r="C278" i="6"/>
  <c r="C279" i="6"/>
  <c r="C280" i="6"/>
  <c r="C281" i="6"/>
  <c r="E281" i="6"/>
  <c r="E289" i="6" s="1"/>
  <c r="E290" i="6" s="1"/>
  <c r="C282" i="6"/>
  <c r="D282" i="6"/>
  <c r="D289" i="6" s="1"/>
  <c r="D290" i="6" s="1"/>
  <c r="C283" i="6"/>
  <c r="C284" i="6"/>
  <c r="C285" i="6"/>
  <c r="C286" i="6"/>
  <c r="C288" i="6"/>
  <c r="F289" i="6"/>
  <c r="F290" i="6" s="1"/>
  <c r="C292" i="6"/>
  <c r="D292" i="6"/>
  <c r="C293" i="6"/>
  <c r="C294" i="6"/>
  <c r="C295" i="6"/>
  <c r="C296" i="6"/>
  <c r="C297" i="6"/>
  <c r="D297" i="6"/>
  <c r="C298" i="6"/>
  <c r="C299" i="6"/>
  <c r="D299" i="6"/>
  <c r="E300" i="6"/>
  <c r="E301" i="6" s="1"/>
  <c r="F300" i="6"/>
  <c r="F301" i="6" s="1"/>
  <c r="C303" i="6"/>
  <c r="C304" i="6" s="1"/>
  <c r="C305" i="6" s="1"/>
  <c r="D304" i="6"/>
  <c r="E304" i="6"/>
  <c r="E305" i="6" s="1"/>
  <c r="F304" i="6"/>
  <c r="F305" i="6" s="1"/>
  <c r="D305" i="6"/>
  <c r="C308" i="6"/>
  <c r="D308" i="6"/>
  <c r="C287" i="6"/>
  <c r="C309" i="6"/>
  <c r="D309" i="6"/>
  <c r="C310" i="6"/>
  <c r="C311" i="6"/>
  <c r="C312" i="6"/>
  <c r="D312" i="6"/>
  <c r="C313" i="6"/>
  <c r="D313" i="6"/>
  <c r="C314" i="6"/>
  <c r="E315" i="6"/>
  <c r="E316" i="6" s="1"/>
  <c r="F315" i="6"/>
  <c r="F316" i="6" s="1"/>
  <c r="C318" i="6"/>
  <c r="D318" i="6"/>
  <c r="D321" i="6" s="1"/>
  <c r="D322" i="6" s="1"/>
  <c r="C319" i="6"/>
  <c r="C320" i="6"/>
  <c r="E321" i="6"/>
  <c r="E322" i="6" s="1"/>
  <c r="F321" i="6"/>
  <c r="F322" i="6" s="1"/>
  <c r="C324" i="6"/>
  <c r="D324" i="6"/>
  <c r="C325" i="6"/>
  <c r="C326" i="6"/>
  <c r="D326" i="6"/>
  <c r="C327" i="6"/>
  <c r="C328" i="6"/>
  <c r="C329" i="6"/>
  <c r="C330" i="6"/>
  <c r="C331" i="6"/>
  <c r="E332" i="6"/>
  <c r="E333" i="6" s="1"/>
  <c r="F332" i="6"/>
  <c r="F333" i="6" s="1"/>
  <c r="C335" i="6"/>
  <c r="D335" i="6"/>
  <c r="C336" i="6"/>
  <c r="D336" i="6"/>
  <c r="C337" i="6"/>
  <c r="C338" i="6"/>
  <c r="C339" i="6"/>
  <c r="C340" i="6"/>
  <c r="C341" i="6"/>
  <c r="C342" i="6"/>
  <c r="C343" i="6"/>
  <c r="E344" i="6"/>
  <c r="E345" i="6" s="1"/>
  <c r="F344" i="6"/>
  <c r="F345" i="6" s="1"/>
  <c r="C347" i="6"/>
  <c r="C348" i="6"/>
  <c r="D349" i="6"/>
  <c r="D350" i="6" s="1"/>
  <c r="E349" i="6"/>
  <c r="E350" i="6" s="1"/>
  <c r="F349" i="6"/>
  <c r="F350" i="6" s="1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D393" i="6"/>
  <c r="D394" i="6" s="1"/>
  <c r="E393" i="6"/>
  <c r="E394" i="6" s="1"/>
  <c r="F393" i="6"/>
  <c r="F394" i="6" s="1"/>
  <c r="F431" i="6"/>
  <c r="C396" i="6"/>
  <c r="C397" i="6"/>
  <c r="C398" i="6"/>
  <c r="C400" i="6"/>
  <c r="C401" i="6"/>
  <c r="C402" i="6"/>
  <c r="H402" i="6" s="1"/>
  <c r="C403" i="6"/>
  <c r="C404" i="6"/>
  <c r="D405" i="6"/>
  <c r="D406" i="6" s="1"/>
  <c r="E405" i="6"/>
  <c r="E406" i="6" s="1"/>
  <c r="F405" i="6"/>
  <c r="F406" i="6" s="1"/>
  <c r="C408" i="6"/>
  <c r="D253" i="6" l="1"/>
  <c r="D254" i="6" s="1"/>
  <c r="H318" i="6"/>
  <c r="C61" i="6"/>
  <c r="C393" i="6"/>
  <c r="C394" i="6" s="1"/>
  <c r="D300" i="6"/>
  <c r="D301" i="6" s="1"/>
  <c r="D183" i="6"/>
  <c r="D184" i="6" s="1"/>
  <c r="C30" i="6"/>
  <c r="C31" i="6" s="1"/>
  <c r="H12" i="6"/>
  <c r="H8" i="6"/>
  <c r="D227" i="6"/>
  <c r="D228" i="6" s="1"/>
  <c r="H132" i="6"/>
  <c r="H37" i="6"/>
  <c r="H13" i="6"/>
  <c r="D71" i="6"/>
  <c r="D72" i="6" s="1"/>
  <c r="H36" i="6"/>
  <c r="D39" i="6"/>
  <c r="D40" i="6" s="1"/>
  <c r="H33" i="6"/>
  <c r="H14" i="6"/>
  <c r="H7" i="6"/>
  <c r="C263" i="6"/>
  <c r="C264" i="6" s="1"/>
  <c r="C147" i="6"/>
  <c r="C148" i="6" s="1"/>
  <c r="C102" i="6"/>
  <c r="C103" i="6" s="1"/>
  <c r="D269" i="6"/>
  <c r="D270" i="6" s="1"/>
  <c r="C177" i="6"/>
  <c r="C178" i="6" s="1"/>
  <c r="H56" i="6"/>
  <c r="D30" i="6"/>
  <c r="D31" i="6" s="1"/>
  <c r="D24" i="6"/>
  <c r="D25" i="6" s="1"/>
  <c r="H22" i="6"/>
  <c r="D344" i="6"/>
  <c r="D345" i="6" s="1"/>
  <c r="H403" i="6"/>
  <c r="H372" i="6"/>
  <c r="H359" i="6"/>
  <c r="H338" i="6"/>
  <c r="H213" i="6"/>
  <c r="H196" i="6"/>
  <c r="H408" i="6"/>
  <c r="H401" i="6"/>
  <c r="H389" i="6"/>
  <c r="H384" i="6"/>
  <c r="H380" i="6"/>
  <c r="H375" i="6"/>
  <c r="H371" i="6"/>
  <c r="H365" i="6"/>
  <c r="H354" i="6"/>
  <c r="H341" i="6"/>
  <c r="H326" i="6"/>
  <c r="H313" i="6"/>
  <c r="H311" i="6"/>
  <c r="H294" i="6"/>
  <c r="H284" i="6"/>
  <c r="H281" i="6"/>
  <c r="H267" i="6"/>
  <c r="C269" i="6"/>
  <c r="C270" i="6" s="1"/>
  <c r="H262" i="6"/>
  <c r="H235" i="6"/>
  <c r="C247" i="6"/>
  <c r="C248" i="6" s="1"/>
  <c r="H220" i="6"/>
  <c r="H214" i="6"/>
  <c r="H202" i="6"/>
  <c r="H151" i="6"/>
  <c r="H369" i="6"/>
  <c r="H157" i="6"/>
  <c r="G129" i="6"/>
  <c r="G130" i="6" s="1"/>
  <c r="H377" i="6"/>
  <c r="H370" i="6"/>
  <c r="H355" i="6"/>
  <c r="H329" i="6"/>
  <c r="H319" i="6"/>
  <c r="H275" i="6"/>
  <c r="H135" i="6"/>
  <c r="H101" i="6"/>
  <c r="H97" i="6"/>
  <c r="H91" i="6"/>
  <c r="H68" i="6"/>
  <c r="H343" i="6"/>
  <c r="H159" i="6"/>
  <c r="C107" i="6"/>
  <c r="C108" i="6" s="1"/>
  <c r="H106" i="6"/>
  <c r="H398" i="6"/>
  <c r="H387" i="6"/>
  <c r="H379" i="6"/>
  <c r="H360" i="6"/>
  <c r="H268" i="6"/>
  <c r="H236" i="6"/>
  <c r="H400" i="6"/>
  <c r="H390" i="6"/>
  <c r="H383" i="6"/>
  <c r="H366" i="6"/>
  <c r="H356" i="6"/>
  <c r="H353" i="6"/>
  <c r="H340" i="6"/>
  <c r="H325" i="6"/>
  <c r="H308" i="6"/>
  <c r="C315" i="6"/>
  <c r="C316" i="6" s="1"/>
  <c r="H297" i="6"/>
  <c r="H288" i="6"/>
  <c r="D263" i="6"/>
  <c r="D264" i="6" s="1"/>
  <c r="H246" i="6"/>
  <c r="H239" i="6"/>
  <c r="D192" i="6"/>
  <c r="D193" i="6" s="1"/>
  <c r="D165" i="6"/>
  <c r="D166" i="6" s="1"/>
  <c r="H139" i="6"/>
  <c r="H136" i="6"/>
  <c r="H70" i="6"/>
  <c r="H397" i="6"/>
  <c r="H392" i="6"/>
  <c r="H386" i="6"/>
  <c r="H381" i="6"/>
  <c r="H376" i="6"/>
  <c r="H368" i="6"/>
  <c r="H361" i="6"/>
  <c r="H358" i="6"/>
  <c r="H342" i="6"/>
  <c r="H339" i="6"/>
  <c r="H330" i="6"/>
  <c r="H327" i="6"/>
  <c r="H314" i="6"/>
  <c r="H309" i="6"/>
  <c r="G304" i="6"/>
  <c r="G305" i="6" s="1"/>
  <c r="H295" i="6"/>
  <c r="H282" i="6"/>
  <c r="H278" i="6"/>
  <c r="H273" i="6"/>
  <c r="H260" i="6"/>
  <c r="H257" i="6"/>
  <c r="G254" i="6"/>
  <c r="H245" i="6"/>
  <c r="H237" i="6"/>
  <c r="H231" i="6"/>
  <c r="H232" i="6" s="1"/>
  <c r="G227" i="6"/>
  <c r="G228" i="6" s="1"/>
  <c r="H215" i="6"/>
  <c r="H207" i="6"/>
  <c r="D204" i="6"/>
  <c r="H191" i="6"/>
  <c r="H189" i="6"/>
  <c r="H188" i="6"/>
  <c r="G192" i="6"/>
  <c r="G193" i="6" s="1"/>
  <c r="H180" i="6"/>
  <c r="C171" i="6"/>
  <c r="C172" i="6" s="1"/>
  <c r="H169" i="6"/>
  <c r="H163" i="6"/>
  <c r="H161" i="6"/>
  <c r="H152" i="6"/>
  <c r="H140" i="6"/>
  <c r="H128" i="6"/>
  <c r="H124" i="6"/>
  <c r="H110" i="6"/>
  <c r="H98" i="6"/>
  <c r="H92" i="6"/>
  <c r="H83" i="6"/>
  <c r="H80" i="6"/>
  <c r="G84" i="6"/>
  <c r="G85" i="6" s="1"/>
  <c r="H69" i="6"/>
  <c r="H65" i="6"/>
  <c r="H34" i="6"/>
  <c r="H28" i="6"/>
  <c r="H27" i="6"/>
  <c r="H9" i="6"/>
  <c r="H336" i="6"/>
  <c r="H320" i="6"/>
  <c r="H310" i="6"/>
  <c r="H287" i="6"/>
  <c r="H298" i="6"/>
  <c r="H292" i="6"/>
  <c r="H285" i="6"/>
  <c r="H283" i="6"/>
  <c r="H279" i="6"/>
  <c r="H276" i="6"/>
  <c r="H258" i="6"/>
  <c r="H243" i="6"/>
  <c r="H241" i="6"/>
  <c r="H240" i="6"/>
  <c r="H226" i="6"/>
  <c r="H225" i="6"/>
  <c r="D221" i="6"/>
  <c r="D222" i="6" s="1"/>
  <c r="H217" i="6"/>
  <c r="H216" i="6"/>
  <c r="H208" i="6"/>
  <c r="H199" i="6"/>
  <c r="H198" i="6"/>
  <c r="H197" i="6"/>
  <c r="H181" i="6"/>
  <c r="H175" i="6"/>
  <c r="H170" i="6"/>
  <c r="H162" i="6"/>
  <c r="H158" i="6"/>
  <c r="H156" i="6"/>
  <c r="H153" i="6"/>
  <c r="H147" i="6"/>
  <c r="H148" i="6" s="1"/>
  <c r="H142" i="6"/>
  <c r="H137" i="6"/>
  <c r="G143" i="6"/>
  <c r="G144" i="6" s="1"/>
  <c r="H125" i="6"/>
  <c r="C116" i="6"/>
  <c r="C117" i="6" s="1"/>
  <c r="G116" i="6"/>
  <c r="G117" i="6" s="1"/>
  <c r="H111" i="6"/>
  <c r="H105" i="6"/>
  <c r="G107" i="6"/>
  <c r="G108" i="6" s="1"/>
  <c r="H100" i="6"/>
  <c r="H99" i="6"/>
  <c r="H90" i="6"/>
  <c r="H88" i="6"/>
  <c r="H66" i="6"/>
  <c r="G61" i="6"/>
  <c r="G62" i="6" s="1"/>
  <c r="H18" i="6"/>
  <c r="H11" i="6"/>
  <c r="H10" i="6"/>
  <c r="H404" i="6"/>
  <c r="H391" i="6"/>
  <c r="H388" i="6"/>
  <c r="H385" i="6"/>
  <c r="H382" i="6"/>
  <c r="H378" i="6"/>
  <c r="H374" i="6"/>
  <c r="H373" i="6"/>
  <c r="H367" i="6"/>
  <c r="H364" i="6"/>
  <c r="H363" i="6"/>
  <c r="H362" i="6"/>
  <c r="H357" i="6"/>
  <c r="H348" i="6"/>
  <c r="C344" i="6"/>
  <c r="C345" i="6" s="1"/>
  <c r="H337" i="6"/>
  <c r="H331" i="6"/>
  <c r="H328" i="6"/>
  <c r="H312" i="6"/>
  <c r="H299" i="6"/>
  <c r="H296" i="6"/>
  <c r="H293" i="6"/>
  <c r="H286" i="6"/>
  <c r="H280" i="6"/>
  <c r="H277" i="6"/>
  <c r="H274" i="6"/>
  <c r="C289" i="6"/>
  <c r="C290" i="6" s="1"/>
  <c r="G289" i="6"/>
  <c r="G290" i="6" s="1"/>
  <c r="G269" i="6"/>
  <c r="G270" i="6" s="1"/>
  <c r="H261" i="6"/>
  <c r="H259" i="6"/>
  <c r="H244" i="6"/>
  <c r="H242" i="6"/>
  <c r="H238" i="6"/>
  <c r="D247" i="6"/>
  <c r="D248" i="6" s="1"/>
  <c r="G247" i="6"/>
  <c r="G248" i="6" s="1"/>
  <c r="H219" i="6"/>
  <c r="H218" i="6"/>
  <c r="H212" i="6"/>
  <c r="H211" i="6"/>
  <c r="H210" i="6"/>
  <c r="H190" i="6"/>
  <c r="H209" i="6"/>
  <c r="H203" i="6"/>
  <c r="H201" i="6"/>
  <c r="H200" i="6"/>
  <c r="G204" i="6"/>
  <c r="G205" i="6" s="1"/>
  <c r="C183" i="6"/>
  <c r="C184" i="6" s="1"/>
  <c r="H182" i="6"/>
  <c r="H176" i="6"/>
  <c r="G171" i="6"/>
  <c r="G172" i="6" s="1"/>
  <c r="H164" i="6"/>
  <c r="H160" i="6"/>
  <c r="H154" i="6"/>
  <c r="H150" i="6"/>
  <c r="H138" i="6"/>
  <c r="H134" i="6"/>
  <c r="H127" i="6"/>
  <c r="H126" i="6"/>
  <c r="G102" i="6"/>
  <c r="G103" i="6" s="1"/>
  <c r="H89" i="6"/>
  <c r="C84" i="6"/>
  <c r="C85" i="6" s="1"/>
  <c r="H67" i="6"/>
  <c r="G53" i="6"/>
  <c r="G54" i="6" s="1"/>
  <c r="H42" i="6"/>
  <c r="H29" i="6"/>
  <c r="H120" i="6"/>
  <c r="D93" i="6"/>
  <c r="D94" i="6" s="1"/>
  <c r="D143" i="6"/>
  <c r="D144" i="6" s="1"/>
  <c r="C93" i="6"/>
  <c r="C94" i="6" s="1"/>
  <c r="H57" i="6"/>
  <c r="C405" i="6"/>
  <c r="C406" i="6" s="1"/>
  <c r="D332" i="6"/>
  <c r="D333" i="6" s="1"/>
  <c r="C221" i="6"/>
  <c r="C222" i="6" s="1"/>
  <c r="C129" i="6"/>
  <c r="C130" i="6" s="1"/>
  <c r="D102" i="6"/>
  <c r="D103" i="6" s="1"/>
  <c r="C75" i="6"/>
  <c r="C76" i="6" s="1"/>
  <c r="H74" i="6"/>
  <c r="H75" i="6" s="1"/>
  <c r="H76" i="6" s="1"/>
  <c r="H49" i="6"/>
  <c r="D15" i="6"/>
  <c r="D16" i="6" s="1"/>
  <c r="C332" i="6"/>
  <c r="C333" i="6" s="1"/>
  <c r="C321" i="6"/>
  <c r="C322" i="6" s="1"/>
  <c r="D315" i="6"/>
  <c r="D316" i="6" s="1"/>
  <c r="C300" i="6"/>
  <c r="C301" i="6" s="1"/>
  <c r="C227" i="6"/>
  <c r="C228" i="6" s="1"/>
  <c r="C204" i="6"/>
  <c r="C205" i="6" s="1"/>
  <c r="C192" i="6"/>
  <c r="C193" i="6" s="1"/>
  <c r="C165" i="6"/>
  <c r="C166" i="6" s="1"/>
  <c r="C143" i="6"/>
  <c r="C144" i="6" s="1"/>
  <c r="C71" i="6"/>
  <c r="C72" i="6" s="1"/>
  <c r="C349" i="6"/>
  <c r="C350" i="6" s="1"/>
  <c r="D129" i="6"/>
  <c r="D130" i="6" s="1"/>
  <c r="C53" i="6"/>
  <c r="C54" i="6" s="1"/>
  <c r="C39" i="6"/>
  <c r="C40" i="6" s="1"/>
  <c r="C24" i="6"/>
  <c r="C25" i="6" s="1"/>
  <c r="C112" i="6"/>
  <c r="C113" i="6" s="1"/>
  <c r="H23" i="6"/>
  <c r="C43" i="6"/>
  <c r="C44" i="6" s="1"/>
  <c r="C15" i="6"/>
  <c r="C16" i="6" s="1"/>
  <c r="C62" i="6" l="1"/>
  <c r="H30" i="6"/>
  <c r="H31" i="6" s="1"/>
  <c r="H39" i="6"/>
  <c r="H40" i="6" s="1"/>
  <c r="H15" i="6"/>
  <c r="H16" i="6" s="1"/>
  <c r="G349" i="6"/>
  <c r="G350" i="6" s="1"/>
  <c r="H321" i="6"/>
  <c r="H322" i="6" s="1"/>
  <c r="H409" i="6"/>
  <c r="H410" i="6" s="1"/>
  <c r="H165" i="6"/>
  <c r="H166" i="6" s="1"/>
  <c r="H300" i="6"/>
  <c r="H301" i="6" s="1"/>
  <c r="H112" i="6"/>
  <c r="H113" i="6" s="1"/>
  <c r="H183" i="6"/>
  <c r="H184" i="6" s="1"/>
  <c r="G263" i="6"/>
  <c r="G264" i="6" s="1"/>
  <c r="G393" i="6"/>
  <c r="G394" i="6" s="1"/>
  <c r="G71" i="6"/>
  <c r="G72" i="6" s="1"/>
  <c r="H52" i="6"/>
  <c r="H96" i="6"/>
  <c r="H168" i="6"/>
  <c r="H195" i="6"/>
  <c r="H234" i="6"/>
  <c r="H272" i="6"/>
  <c r="G332" i="6"/>
  <c r="G333" i="6" s="1"/>
  <c r="H19" i="6"/>
  <c r="H20" i="6" s="1"/>
  <c r="H133" i="6"/>
  <c r="H79" i="6"/>
  <c r="G177" i="6"/>
  <c r="G178" i="6" s="1"/>
  <c r="H224" i="6"/>
  <c r="H256" i="6"/>
  <c r="G344" i="6"/>
  <c r="G345" i="6" s="1"/>
  <c r="G321" i="6"/>
  <c r="G322" i="6" s="1"/>
  <c r="H123" i="6"/>
  <c r="G93" i="6"/>
  <c r="G94" i="6" s="1"/>
  <c r="H352" i="6"/>
  <c r="H64" i="6"/>
  <c r="H71" i="6" s="1"/>
  <c r="H72" i="6" s="1"/>
  <c r="H107" i="6"/>
  <c r="H108" i="6" s="1"/>
  <c r="H221" i="6"/>
  <c r="H222" i="6" s="1"/>
  <c r="H324" i="6"/>
  <c r="H174" i="6"/>
  <c r="H177" i="6" s="1"/>
  <c r="H178" i="6" s="1"/>
  <c r="H187" i="6"/>
  <c r="H251" i="6"/>
  <c r="H253" i="6" s="1"/>
  <c r="H254" i="6" s="1"/>
  <c r="H335" i="6"/>
  <c r="H344" i="6" s="1"/>
  <c r="H345" i="6" s="1"/>
  <c r="G405" i="6"/>
  <c r="G406" i="6" s="1"/>
  <c r="H87" i="6"/>
  <c r="H93" i="6" s="1"/>
  <c r="H94" i="6" s="1"/>
  <c r="H315" i="6"/>
  <c r="H316" i="6" s="1"/>
  <c r="H43" i="6"/>
  <c r="H44" i="6" s="1"/>
  <c r="G165" i="6"/>
  <c r="G166" i="6" s="1"/>
  <c r="H266" i="6"/>
  <c r="H60" i="6"/>
  <c r="H115" i="6"/>
  <c r="H116" i="6" s="1"/>
  <c r="H117" i="6" s="1"/>
  <c r="G300" i="6"/>
  <c r="G301" i="6" s="1"/>
  <c r="G112" i="6"/>
  <c r="G113" i="6" s="1"/>
  <c r="G183" i="6"/>
  <c r="G184" i="6" s="1"/>
  <c r="G221" i="6"/>
  <c r="G222" i="6" s="1"/>
  <c r="H303" i="6"/>
  <c r="H347" i="6"/>
  <c r="G315" i="6"/>
  <c r="G316" i="6" s="1"/>
  <c r="H396" i="6"/>
  <c r="H24" i="6"/>
  <c r="H25" i="6" s="1"/>
  <c r="H121" i="6"/>
  <c r="H171" i="6" l="1"/>
  <c r="H172" i="6" s="1"/>
  <c r="H349" i="6"/>
  <c r="H350" i="6" s="1"/>
  <c r="H269" i="6"/>
  <c r="H270" i="6" s="1"/>
  <c r="H263" i="6"/>
  <c r="H264" i="6" s="1"/>
  <c r="H143" i="6"/>
  <c r="H144" i="6" s="1"/>
  <c r="H289" i="6"/>
  <c r="H290" i="6" s="1"/>
  <c r="H102" i="6"/>
  <c r="H103" i="6" s="1"/>
  <c r="H332" i="6"/>
  <c r="H333" i="6" s="1"/>
  <c r="H393" i="6"/>
  <c r="H394" i="6" s="1"/>
  <c r="H304" i="6"/>
  <c r="H305" i="6" s="1"/>
  <c r="H192" i="6"/>
  <c r="H129" i="6"/>
  <c r="H130" i="6" s="1"/>
  <c r="H227" i="6"/>
  <c r="H228" i="6" s="1"/>
  <c r="H247" i="6"/>
  <c r="H248" i="6" s="1"/>
  <c r="H53" i="6"/>
  <c r="H54" i="6" s="1"/>
  <c r="H61" i="6"/>
  <c r="H62" i="6" s="1"/>
  <c r="H84" i="6"/>
  <c r="H85" i="6" s="1"/>
  <c r="H405" i="6"/>
  <c r="H406" i="6" s="1"/>
  <c r="H204" i="6"/>
  <c r="H412" i="6" l="1"/>
  <c r="E430" i="6" l="1"/>
  <c r="E432" i="6" l="1"/>
  <c r="C436" i="6" l="1"/>
  <c r="G431" i="6"/>
  <c r="B436" i="6" l="1"/>
  <c r="E409" i="6" l="1"/>
  <c r="E431" i="6"/>
  <c r="E434" i="6"/>
  <c r="F436" i="6" l="1"/>
  <c r="E436" i="6"/>
  <c r="H425" i="6" l="1"/>
  <c r="D409" i="6" l="1"/>
  <c r="F409" i="6"/>
  <c r="B434" i="6" l="1"/>
  <c r="G409" i="6" l="1"/>
  <c r="G410" i="6" s="1"/>
  <c r="C409" i="6"/>
  <c r="C410" i="6" s="1"/>
  <c r="G423" i="6" l="1"/>
  <c r="C435" i="6" l="1"/>
  <c r="H436" i="6" l="1"/>
  <c r="D436" i="6" l="1"/>
  <c r="G434" i="6" l="1"/>
  <c r="D432" i="6" l="1"/>
  <c r="D431" i="6"/>
  <c r="C434" i="6" l="1"/>
  <c r="G461" i="6"/>
  <c r="F434" i="6" l="1"/>
  <c r="H423" i="6"/>
  <c r="G435" i="6" l="1"/>
  <c r="F435" i="6"/>
  <c r="E435" i="6"/>
  <c r="B435" i="6"/>
  <c r="B431" i="6"/>
  <c r="B462" i="6" l="1"/>
  <c r="F430" i="6" l="1"/>
  <c r="F432" i="6" l="1"/>
  <c r="D443" i="6" l="1"/>
  <c r="E462" i="6" l="1"/>
  <c r="E463" i="6"/>
  <c r="E461" i="6"/>
  <c r="G436" i="6" l="1"/>
  <c r="H463" i="6" l="1"/>
  <c r="G462" i="6" l="1"/>
  <c r="C462" i="6"/>
  <c r="B432" i="6" l="1"/>
  <c r="B463" i="6" l="1"/>
  <c r="C463" i="6"/>
  <c r="H431" i="6" l="1"/>
  <c r="C426" i="6"/>
  <c r="D435" i="6" l="1"/>
  <c r="H462" i="6"/>
  <c r="H435" i="6" l="1"/>
  <c r="D410" i="6" l="1"/>
  <c r="E410" i="6"/>
  <c r="F410" i="6"/>
  <c r="G463" i="6" l="1"/>
  <c r="G464" i="6" s="1"/>
  <c r="H461" i="6" l="1"/>
  <c r="H464" i="6" s="1"/>
  <c r="G432" i="6" l="1"/>
  <c r="F441" i="6" l="1"/>
  <c r="F448" i="6" s="1"/>
  <c r="D420" i="6" l="1"/>
  <c r="B426" i="6" s="1"/>
  <c r="C427" i="6" s="1"/>
  <c r="C420" i="6" l="1"/>
  <c r="G442" i="6" l="1"/>
  <c r="D434" i="6" l="1"/>
  <c r="H434" i="6" l="1"/>
  <c r="G441" i="6" l="1"/>
  <c r="G448" i="6" s="1"/>
  <c r="F452" i="6" s="1"/>
  <c r="C432" i="6" l="1"/>
  <c r="C443" i="6" l="1"/>
  <c r="H432" i="6"/>
  <c r="D418" i="6" l="1"/>
  <c r="D416" i="6"/>
  <c r="F418" i="6" l="1"/>
  <c r="C431" i="6"/>
  <c r="A441" i="6" l="1"/>
  <c r="A445" i="6" s="1"/>
  <c r="C442" i="6" l="1"/>
  <c r="C412" i="6" l="1"/>
  <c r="G412" i="6" l="1"/>
  <c r="C430" i="6"/>
  <c r="C437" i="6" s="1"/>
  <c r="E412" i="6"/>
  <c r="B430" i="6"/>
  <c r="B437" i="6" s="1"/>
  <c r="D430" i="6"/>
  <c r="D437" i="6" s="1"/>
  <c r="D412" i="6"/>
  <c r="C461" i="6"/>
  <c r="C464" i="6" s="1"/>
  <c r="E468" i="6" s="1"/>
  <c r="F412" i="6"/>
  <c r="C422" i="6" l="1"/>
  <c r="B461" i="6"/>
  <c r="B464" i="6" s="1"/>
  <c r="E467" i="6" s="1"/>
  <c r="G422" i="6"/>
  <c r="E437" i="6"/>
  <c r="H422" i="6" l="1"/>
  <c r="H426" i="6" l="1"/>
  <c r="F437" i="6"/>
  <c r="G430" i="6"/>
  <c r="H430" i="6"/>
  <c r="H437" i="6" s="1"/>
  <c r="D441" i="6"/>
  <c r="D448" i="6" s="1"/>
  <c r="C441" i="6" l="1"/>
  <c r="C448" i="6" s="1"/>
  <c r="C451" i="6" s="1"/>
  <c r="F416" i="6"/>
  <c r="F420" i="6"/>
</calcChain>
</file>

<file path=xl/sharedStrings.xml><?xml version="1.0" encoding="utf-8"?>
<sst xmlns="http://schemas.openxmlformats.org/spreadsheetml/2006/main" count="741" uniqueCount="476">
  <si>
    <t>NOMBRE</t>
  </si>
  <si>
    <t>PUESTO</t>
  </si>
  <si>
    <t>SUELDO</t>
  </si>
  <si>
    <t>RETENCION</t>
  </si>
  <si>
    <t>S.E.</t>
  </si>
  <si>
    <t>SUELDO NETO</t>
  </si>
  <si>
    <t>TOTAL</t>
  </si>
  <si>
    <t>REGIDORES</t>
  </si>
  <si>
    <t>GOBIERNO MUNICIPAL DE AYOTLÁN, JALISCO</t>
  </si>
  <si>
    <t>Secretaria.</t>
  </si>
  <si>
    <t>Auxiliar.</t>
  </si>
  <si>
    <t>Rocio Patricia Chávez Ortiz.</t>
  </si>
  <si>
    <t>Fernando López Mayén.</t>
  </si>
  <si>
    <t>María del Socorro Hernández Andrade.</t>
  </si>
  <si>
    <t>Susana Camarena Rizo.</t>
  </si>
  <si>
    <t>Nadia Elizabeth Casillas Lara.</t>
  </si>
  <si>
    <t>María Cristina Alvarado Álvarez.</t>
  </si>
  <si>
    <t>Sandra Borja Hurtado.</t>
  </si>
  <si>
    <t>Miguel Ángel Escobedo Alatorre.</t>
  </si>
  <si>
    <t>Regidor.</t>
  </si>
  <si>
    <t>Auxiliar Administrativo.</t>
  </si>
  <si>
    <t>Secretaria de Ingresos.</t>
  </si>
  <si>
    <t>Velador.</t>
  </si>
  <si>
    <t>María Gloria Rodríguez Gacía.</t>
  </si>
  <si>
    <t>Paulina López Gallegos.</t>
  </si>
  <si>
    <t>Intendente.</t>
  </si>
  <si>
    <t>Román Rafael Medina Vázquez.</t>
  </si>
  <si>
    <t>Promotor.</t>
  </si>
  <si>
    <t>Hilda Mireya Barcenas Zaragoza.</t>
  </si>
  <si>
    <t>Ramiro Rosas Nuñez.</t>
  </si>
  <si>
    <t>Auxiliar Técnico.</t>
  </si>
  <si>
    <t>Juan Pablo Cárdenas Rivera.</t>
  </si>
  <si>
    <t>Elizabeth Ramírez Ramírez.</t>
  </si>
  <si>
    <t>Yessica Maricela Ramírez Ramírez.</t>
  </si>
  <si>
    <t>José García Cordova.</t>
  </si>
  <si>
    <t>Asesor Jurídico.</t>
  </si>
  <si>
    <t>José Israel de la Cruz Ramírez.</t>
  </si>
  <si>
    <t>Marco Antonio Rodríguez Zarate.</t>
  </si>
  <si>
    <t>Rafael Tabarez Castillo.</t>
  </si>
  <si>
    <t>José Manuel Zarate Romero.</t>
  </si>
  <si>
    <t>Sigifredo Lara Lara.</t>
  </si>
  <si>
    <t>María Guadalupe Palafox Silva.</t>
  </si>
  <si>
    <t>Francisco Javier Rico López.</t>
  </si>
  <si>
    <t>Carmina Yadira Manriquez García.</t>
  </si>
  <si>
    <t>Comandante.</t>
  </si>
  <si>
    <t>Sallym Morales Serratos.</t>
  </si>
  <si>
    <t>Ma. Del Refugio Llamas Parada.</t>
  </si>
  <si>
    <t>Juan Gabriel Rea Álvarez.</t>
  </si>
  <si>
    <t>Teniente.</t>
  </si>
  <si>
    <t>Javier Navarro Camarena.</t>
  </si>
  <si>
    <t>Rogelio García Díaz.</t>
  </si>
  <si>
    <t>Primera.</t>
  </si>
  <si>
    <t>Abel González Tovar.</t>
  </si>
  <si>
    <t>Carlos González Vargas.</t>
  </si>
  <si>
    <t>Gerardo López Vázquez.</t>
  </si>
  <si>
    <t>Linea.</t>
  </si>
  <si>
    <t>Ramón Gómez Sotelo.</t>
  </si>
  <si>
    <t>Rigo Alvarado Guzmán.</t>
  </si>
  <si>
    <t>Julia Erendira García Barajas.</t>
  </si>
  <si>
    <t>Juan Hernández Zuñiga.</t>
  </si>
  <si>
    <t>Gerardo Cervantes Galindo.</t>
  </si>
  <si>
    <t>Fidel Cortes Garibay.</t>
  </si>
  <si>
    <t>Carina Soto González.</t>
  </si>
  <si>
    <t>Intendencia.</t>
  </si>
  <si>
    <t>Mantenimiento general.</t>
  </si>
  <si>
    <t>Chofer.</t>
  </si>
  <si>
    <t>María Virginia Neri Ascencio.</t>
  </si>
  <si>
    <t>Gustavo Oblea Martínez.</t>
  </si>
  <si>
    <t>Ignacio Trujillo Villalpando.</t>
  </si>
  <si>
    <t>Alonso Navarrete Serratos.</t>
  </si>
  <si>
    <t>Sergio Fernando Navarrete Serratos.</t>
  </si>
  <si>
    <t>Jaime Alejandro Davalos Robles.</t>
  </si>
  <si>
    <t>Alejandro Barrera Hernández.</t>
  </si>
  <si>
    <t>Chofer escolar.</t>
  </si>
  <si>
    <t>Chofer escolar del CAM.</t>
  </si>
  <si>
    <t>Auxiliar de alumbrado.</t>
  </si>
  <si>
    <t>J. Jesús Ochoa Arías.</t>
  </si>
  <si>
    <t>Javier Lemus Lemus.</t>
  </si>
  <si>
    <t>Juan José Zarate Martínez.</t>
  </si>
  <si>
    <t>José de Jesús Pérez Aguilar.</t>
  </si>
  <si>
    <t>Antonio García Medina.</t>
  </si>
  <si>
    <t>Gerardo Zarate Martínez.</t>
  </si>
  <si>
    <t>Encargado de cuadrilla.</t>
  </si>
  <si>
    <t>Fontanero.</t>
  </si>
  <si>
    <t>Eduardo Villalpando Parada.</t>
  </si>
  <si>
    <t>Sarvelio Loy Rodríguez.</t>
  </si>
  <si>
    <t>Sellador.</t>
  </si>
  <si>
    <t>Velador del mercado.</t>
  </si>
  <si>
    <t>Mauricio Martín Casillas Marrón.</t>
  </si>
  <si>
    <t>Roberto Trujillo Villalpando.</t>
  </si>
  <si>
    <t>Aseador.</t>
  </si>
  <si>
    <t>Chofer Aseador.</t>
  </si>
  <si>
    <t>Aseador de la Plaza.</t>
  </si>
  <si>
    <t>José Guadalupe Pérez Morales.</t>
  </si>
  <si>
    <t>Roberto Pérez Florido.</t>
  </si>
  <si>
    <t>Mariano Enrique Zarate Rizo.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</si>
  <si>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</si>
  <si>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</si>
  <si>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</si>
  <si>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</si>
  <si>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</si>
  <si>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José Juan Camarena Moreno.</t>
  </si>
  <si>
    <t>Esveide Flores de Orta.</t>
  </si>
  <si>
    <t>Héctor Huerta Gutiérrez.</t>
  </si>
  <si>
    <t>José Luis Neri Ascencio.</t>
  </si>
  <si>
    <t>Jardinero.</t>
  </si>
  <si>
    <t>Mantenimiento Cienega de Tlaxcala.</t>
  </si>
  <si>
    <t>Juan Martín Barrera Melgoza.</t>
  </si>
  <si>
    <t>Francisco Zarate Castillo.</t>
  </si>
  <si>
    <t>Francisco Zarate López.</t>
  </si>
  <si>
    <t>J. Jesús Bravo Martínez.</t>
  </si>
  <si>
    <t>Trinidad Guadalupe Hernández Alvarado.</t>
  </si>
  <si>
    <t>Miguel Ángel Quintana Medina.</t>
  </si>
  <si>
    <t>Francisco Corona Flores.</t>
  </si>
  <si>
    <t>Miguel Corona Jiménez.</t>
  </si>
  <si>
    <t>Administrador del Cementerio.</t>
  </si>
  <si>
    <t>David Orozco Sepúlveda.</t>
  </si>
  <si>
    <t>Rubén Mendoza Falcón.</t>
  </si>
  <si>
    <t>Operador.</t>
  </si>
  <si>
    <t>Juan Lemus García.</t>
  </si>
  <si>
    <t>Rigoberto Torres Zendejas.</t>
  </si>
  <si>
    <t>José Miguel Márquez Navarro.</t>
  </si>
  <si>
    <t>Pedro Falcón García.</t>
  </si>
  <si>
    <t>Miguel Trejo Arámbula.</t>
  </si>
  <si>
    <t>Alfredo González Rodríguez.</t>
  </si>
  <si>
    <t>José Castillo García.</t>
  </si>
  <si>
    <t>Policía Vial.</t>
  </si>
  <si>
    <t>Secretaria de Agua Potable.</t>
  </si>
  <si>
    <t>Secretaria de Registro Civil.</t>
  </si>
  <si>
    <t>Chofer de Aseo Público.</t>
  </si>
  <si>
    <t>Agua Potable.</t>
  </si>
  <si>
    <t>Diana Grecia Flores Ballesteros.</t>
  </si>
  <si>
    <t>Ma. Cristina Guzmán García.</t>
  </si>
  <si>
    <t>Gustavo Hernández García.</t>
  </si>
  <si>
    <t>Juan Manuel Rojo Hernández.</t>
  </si>
  <si>
    <t>Juan Mares Rojo.</t>
  </si>
  <si>
    <t>Rubén García Guzmán.</t>
  </si>
  <si>
    <t>Miguel García Gutiérrez.</t>
  </si>
  <si>
    <t>José Manuel Zendejas Rodríguez.</t>
  </si>
  <si>
    <t>Juan José Ocegueda Martínez.</t>
  </si>
  <si>
    <t>Juan José Macías Ramírez.</t>
  </si>
  <si>
    <t>Ramón Rodríguez Negrete.</t>
  </si>
  <si>
    <t>SUELDOS:</t>
  </si>
  <si>
    <t>RETENCIONES:</t>
  </si>
  <si>
    <t>APOYO ALIMENTO:</t>
  </si>
  <si>
    <t>SUELDO NETO:</t>
  </si>
  <si>
    <t>TOTALES GENERALES DE:</t>
  </si>
  <si>
    <t>Chofer vertedero.</t>
  </si>
  <si>
    <t>Encargado de cuadrilla 1.</t>
  </si>
  <si>
    <t>Jardinero de la Plaza.</t>
  </si>
  <si>
    <t>PENSIONADOS.</t>
  </si>
  <si>
    <t>Administrador del Rastro.</t>
  </si>
  <si>
    <t>J. Jesús Rodríguez González.</t>
  </si>
  <si>
    <t>Rigoberto Rodríguez Murillo.</t>
  </si>
  <si>
    <t>Pensionado.</t>
  </si>
  <si>
    <t>Celina Macias Mares.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</si>
  <si>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</si>
  <si>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</si>
  <si>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</si>
  <si>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</si>
  <si>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</si>
  <si>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</si>
  <si>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</si>
  <si>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</si>
  <si>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</si>
  <si>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</si>
  <si>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</si>
  <si>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</si>
  <si>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</si>
  <si>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</si>
  <si>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Pensionado. (SP)</t>
  </si>
  <si>
    <t>Eva Trejo Coronado.</t>
  </si>
  <si>
    <t>Esmeralda Ángel Moreno.</t>
  </si>
  <si>
    <t>Niñera CAM.</t>
  </si>
  <si>
    <t>Juana Fabiola Ramírez Bravo.</t>
  </si>
  <si>
    <t>AHORRO</t>
  </si>
  <si>
    <t>PRESTAMO</t>
  </si>
  <si>
    <t>OTROS DESCTOS.</t>
  </si>
  <si>
    <t>CANTIDAD A DEPOSITAR</t>
  </si>
  <si>
    <t>GUÍA PARA EMITIR PAGO DE SUELDOS.</t>
  </si>
  <si>
    <t>PRESIDENCIA.</t>
  </si>
  <si>
    <t>HACIENDA MUNICIPAL.</t>
  </si>
  <si>
    <t>DIRECCIÓN DE CATASTRO.</t>
  </si>
  <si>
    <t>DIRECCIÓN DE COMUNICACIÓN SOCIAL.</t>
  </si>
  <si>
    <t>DIRECCIÓN DE DEPORTES.</t>
  </si>
  <si>
    <t>DIRECCIÓN DE DESARROLLO SOCIAL.</t>
  </si>
  <si>
    <t>JUZGADO MUNICIPAL.</t>
  </si>
  <si>
    <t>MÉDICO MUNICIPAL.</t>
  </si>
  <si>
    <t>DEPATAMENTO MODULO DE MAQUINARIA.</t>
  </si>
  <si>
    <t>DIRECCIÓN DE PROMOCIÓN ECONÓMICA.</t>
  </si>
  <si>
    <t>DIRECCIÓN DE PROTECCIÓN CIVIL.</t>
  </si>
  <si>
    <t>DIRECCIÓN DE PROVEEDURÍA.</t>
  </si>
  <si>
    <t>DIRECCIÓN DE REGISTRO CIVIL.</t>
  </si>
  <si>
    <t>DIRECCIÓN DE SEGURIDAD PÚBLICA.</t>
  </si>
  <si>
    <t>DIRECCIÓN DE SERVICIOS PÚBLICOS.</t>
  </si>
  <si>
    <t>DEPARTAMENTO DE ALUMBRADO PÚBLICO.</t>
  </si>
  <si>
    <t>DEPARTAMENTO DE RASTRO MUNICIPAL.</t>
  </si>
  <si>
    <t>DEPARTAMENTO DE ASEO PÚBLICO.</t>
  </si>
  <si>
    <t>DEPARTAMENTO DE AGUA POTABLE Y ALCANTARILLADO.</t>
  </si>
  <si>
    <t>DEPARTAMENTO DE PARQUES Y JARDINES.</t>
  </si>
  <si>
    <t>DEPARTAMENTO DE VELADORES.</t>
  </si>
  <si>
    <t>DIRECCIÓN DE TRÁNSITO.</t>
  </si>
  <si>
    <t>DELEGACIÓN DE SANTA RITA.</t>
  </si>
  <si>
    <t>DELEGACIÓN DE BETANIA.</t>
  </si>
  <si>
    <t>DELEGACIÓN DE LA RIBERA.</t>
  </si>
  <si>
    <t>CENTRO DE DESARROLLO COMUNITARIO.</t>
  </si>
  <si>
    <t>APOYOS.</t>
  </si>
  <si>
    <t>PENSIONADOS SEGURIDAD PÚBLICA.</t>
  </si>
  <si>
    <t>SP</t>
  </si>
  <si>
    <t>SEGURIDAD PUBLICA; TENIENTES.</t>
  </si>
  <si>
    <t>SEGURIDAD PUBLICA; PRIMERA.</t>
  </si>
  <si>
    <t>SEGURIDAD PUBLICA; LINEA.</t>
  </si>
  <si>
    <t>Comprobación:</t>
  </si>
  <si>
    <t>CANTIDAD A DEPOSITAR:</t>
  </si>
  <si>
    <t>GRANDES TOTALES POR COLUMNA:</t>
  </si>
  <si>
    <t>Comprobación por área referenciada a Nomina Madre:</t>
  </si>
  <si>
    <t>Ismael Méndez López.</t>
  </si>
  <si>
    <t>TOTAL PAGO ELECTRONICO:</t>
  </si>
  <si>
    <t>TOTALES DE:</t>
  </si>
  <si>
    <t>HDA.</t>
  </si>
  <si>
    <t>Jefe de Dpto. Modulo de Maquinaria.</t>
  </si>
  <si>
    <t>GENERAL</t>
  </si>
  <si>
    <t>PENSIONADOS</t>
  </si>
  <si>
    <t>SEGURIDAD PÚBLICA.</t>
  </si>
  <si>
    <t>IGUAL A:</t>
  </si>
  <si>
    <t>COMPROBACIÓN GENERAL.</t>
  </si>
  <si>
    <t>Samuel Robles Zendejas.</t>
  </si>
  <si>
    <t>HACIENDA</t>
  </si>
  <si>
    <t>ELECTRONICO</t>
  </si>
  <si>
    <t>EFECTIVO</t>
  </si>
  <si>
    <t>José Gerardo López Pérez.</t>
  </si>
  <si>
    <t>José Antonio Zendejas Rodríguez.</t>
  </si>
  <si>
    <t>Noé Alvizar Huerta.</t>
  </si>
  <si>
    <t>Juan Enrique Mojica Valadez.</t>
  </si>
  <si>
    <t>Encargado Cementerio La Ribera.</t>
  </si>
  <si>
    <t>Comprobación</t>
  </si>
  <si>
    <t>APOYO ALIMENTOS</t>
  </si>
  <si>
    <t>A. ALIMENTOS</t>
  </si>
  <si>
    <t>1° Oficial. (A)</t>
  </si>
  <si>
    <t>1° Oficial. (B)</t>
  </si>
  <si>
    <t>2° Oficial. (B)</t>
  </si>
  <si>
    <t>3° Oficial. (A)</t>
  </si>
  <si>
    <t>3° Oficial. (B)</t>
  </si>
  <si>
    <t>Refugio Cisneros Melendrez.</t>
  </si>
  <si>
    <t>Elvira Jiménez González.</t>
  </si>
  <si>
    <t>RECURSOS HUMANOS.</t>
  </si>
  <si>
    <t>Secretaria</t>
  </si>
  <si>
    <t>COMPENSACIONES</t>
  </si>
  <si>
    <t>efectivo</t>
  </si>
  <si>
    <t>cargo</t>
  </si>
  <si>
    <t>abono</t>
  </si>
  <si>
    <t xml:space="preserve">cargo </t>
  </si>
  <si>
    <t>electonico pensionados</t>
  </si>
  <si>
    <t>Seguridad publica</t>
  </si>
  <si>
    <t>electronico gral</t>
  </si>
  <si>
    <t>Adan Perez Morales</t>
  </si>
  <si>
    <t>Carlos Banda Álvarez.</t>
  </si>
  <si>
    <t>Jorge Alberto Llamas Parada</t>
  </si>
  <si>
    <t>Mantenimiento</t>
  </si>
  <si>
    <t>PERSONAL SEGURIDAD PUBLICA</t>
  </si>
  <si>
    <t>Personal</t>
  </si>
  <si>
    <t xml:space="preserve">Retenciones </t>
  </si>
  <si>
    <t>Subsidio</t>
  </si>
  <si>
    <t>TOTALES</t>
  </si>
  <si>
    <t>RETENCION TOTAL</t>
  </si>
  <si>
    <t>SUBSIDIO TOTAL</t>
  </si>
  <si>
    <t xml:space="preserve">           A la cuenta 0170502677 la cantidad:</t>
  </si>
  <si>
    <t>Ana Ruth Lara Delgado</t>
  </si>
  <si>
    <t>Chofer</t>
  </si>
  <si>
    <t>Luis Alberto Mora Ruiz</t>
  </si>
  <si>
    <t>Jose de Jesus Rojo Hernandez</t>
  </si>
  <si>
    <t>Aseador</t>
  </si>
  <si>
    <t>Pensionado</t>
  </si>
  <si>
    <t>Joel Aguilar Zabalza</t>
  </si>
  <si>
    <t>Adrian Roberto Lopez Parada</t>
  </si>
  <si>
    <t>Juan Pablo Solis Rizo</t>
  </si>
  <si>
    <t>Gustavo Mendez Zarate</t>
  </si>
  <si>
    <t>Cristian Adrian Gomez Mojica</t>
  </si>
  <si>
    <t>pensionado</t>
  </si>
  <si>
    <t>Gerardo Cervantes Hernandez</t>
  </si>
  <si>
    <t xml:space="preserve">Aseador Plaza y jardines </t>
  </si>
  <si>
    <t>Jose Patiño Ascencio</t>
  </si>
  <si>
    <t>Chofer de aseo Publico</t>
  </si>
  <si>
    <t>M .Guadalupe Martinez Mora</t>
  </si>
  <si>
    <t xml:space="preserve">Regidor </t>
  </si>
  <si>
    <t xml:space="preserve">Aseador </t>
  </si>
  <si>
    <t>Claudia Ibet Ayala Razo</t>
  </si>
  <si>
    <t>DEPARTAMENTO DE TRASPARENCIA</t>
  </si>
  <si>
    <t>DIRECCIÓN DE EDUCACION</t>
  </si>
  <si>
    <t>Directora</t>
  </si>
  <si>
    <t>Policia Vial</t>
  </si>
  <si>
    <t>Jose Ramon Mendoza Rojo</t>
  </si>
  <si>
    <t>Juan Emmanuel Castillo Castillo</t>
  </si>
  <si>
    <t>Maria Guadalupe Flores Rodriguez</t>
  </si>
  <si>
    <t>Ricardo Hernandez Trujillo</t>
  </si>
  <si>
    <t>INSTITUTO DE LA MUJER</t>
  </si>
  <si>
    <t>Encargada de Egresos</t>
  </si>
  <si>
    <t>Auxiliar de Egresos</t>
  </si>
  <si>
    <t>Encargada de bancos</t>
  </si>
  <si>
    <t>Auxiliar de Bancos</t>
  </si>
  <si>
    <t>Oficial del Registro Civil.</t>
  </si>
  <si>
    <t>Alejandro Romo Flores</t>
  </si>
  <si>
    <t>Margarita Limon Sotelo</t>
  </si>
  <si>
    <t xml:space="preserve">SECRETARÍA GENERAL </t>
  </si>
  <si>
    <t>SINDICATURA.</t>
  </si>
  <si>
    <t>Secretario General</t>
  </si>
  <si>
    <t>Hector Samuel Rodriguez Rodriguez</t>
  </si>
  <si>
    <t>Medico</t>
  </si>
  <si>
    <t>Alex Ivan Salcedo Montes</t>
  </si>
  <si>
    <t>Set Elias Mares Saavedra</t>
  </si>
  <si>
    <t>Jesús Rodríguez Castellanos.</t>
  </si>
  <si>
    <t>Promotor Deportivo</t>
  </si>
  <si>
    <t xml:space="preserve">  </t>
  </si>
  <si>
    <t>Sandra Lizbeth Villalpando Tovar</t>
  </si>
  <si>
    <t>María Elisabeth Hurtado Villaseñor.</t>
  </si>
  <si>
    <t>Jose de Jesus Arellano Moreno</t>
  </si>
  <si>
    <t>Juan Gallegos Barron</t>
  </si>
  <si>
    <t xml:space="preserve">Maria Soledad Jimenez Isaac </t>
  </si>
  <si>
    <t>Ernesto Rizo Rodriguez</t>
  </si>
  <si>
    <t xml:space="preserve">Fortino Leon Sierra </t>
  </si>
  <si>
    <t xml:space="preserve"> </t>
  </si>
  <si>
    <t>Gustavo Zarate Alvarez</t>
  </si>
  <si>
    <t>Mantenimiento Estadio Municipal</t>
  </si>
  <si>
    <t>Israel Molina Flores</t>
  </si>
  <si>
    <t>J Jesus Leon Lopez</t>
  </si>
  <si>
    <t>Gerardo Banda Gonzalez</t>
  </si>
  <si>
    <t>Jesus Apolonio Murillo</t>
  </si>
  <si>
    <t>Cruz Augusto Ramirez Mulgado</t>
  </si>
  <si>
    <t>Francisco  Javier Jauregui Morales</t>
  </si>
  <si>
    <t>Encargado de cuadrillas</t>
  </si>
  <si>
    <t>3º Oficial</t>
  </si>
  <si>
    <t>Yanireth Ameyalli Sanchez Carrillo</t>
  </si>
  <si>
    <t>Rafael Donosa Guzman</t>
  </si>
  <si>
    <t>Alonzo Ramirez Mulgado</t>
  </si>
  <si>
    <t xml:space="preserve">Ignacio Aceves Hernandez </t>
  </si>
  <si>
    <t>Jose de Jesus Arellano Medina</t>
  </si>
  <si>
    <t>3 Oficial</t>
  </si>
  <si>
    <t>Juan Antonio Guzman Soto</t>
  </si>
  <si>
    <t xml:space="preserve">J.Refugio Cazares Padilla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</si>
  <si>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</si>
  <si>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</si>
  <si>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</si>
  <si>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Maria del Carmen Gonzalez Mendez </t>
  </si>
  <si>
    <t xml:space="preserve">Claudio Gaitan Garcia </t>
  </si>
  <si>
    <t xml:space="preserve">Leidy Elizabeth Alatorre Barajas </t>
  </si>
  <si>
    <t xml:space="preserve">Tesorera </t>
  </si>
  <si>
    <t xml:space="preserve">AREA DE MOVILIDAD URBANA Y TRANSITO MPAL </t>
  </si>
  <si>
    <t xml:space="preserve">Juan Marquez Dueñas </t>
  </si>
  <si>
    <t xml:space="preserve">Raziel Husai Gonzalez Hernandez </t>
  </si>
  <si>
    <t xml:space="preserve">Jefe de Area </t>
  </si>
  <si>
    <t xml:space="preserve">AREA DE INSPECCION Y VIGILANCIA, PADRON Y LICENCIAS </t>
  </si>
  <si>
    <t>Abraham Garcia Castillo</t>
  </si>
  <si>
    <t xml:space="preserve">Ernesto Alfonso Padilla Ruiz Velasco </t>
  </si>
  <si>
    <t xml:space="preserve">Auxiliar Administrativo </t>
  </si>
  <si>
    <t xml:space="preserve">Mariana Arambula Alatorre </t>
  </si>
  <si>
    <t xml:space="preserve">Esperanza Garcia Vazquez </t>
  </si>
  <si>
    <t xml:space="preserve">Miguel Angel Rodriguez Muñiz </t>
  </si>
  <si>
    <t xml:space="preserve">Martha Nayeli Serratos Quiroz </t>
  </si>
  <si>
    <t xml:space="preserve">Fernando Guzman Barrera </t>
  </si>
  <si>
    <t>Benjamin Apolonio Murillo</t>
  </si>
  <si>
    <t xml:space="preserve">Porfirio Rocha Escoto </t>
  </si>
  <si>
    <t xml:space="preserve">Daniel Velasco Tabarez </t>
  </si>
  <si>
    <t xml:space="preserve">Jose Daniel Benitez Perez </t>
  </si>
  <si>
    <t xml:space="preserve">Secretaria </t>
  </si>
  <si>
    <t xml:space="preserve">Carlos Mauricio Acosta Garcia </t>
  </si>
  <si>
    <t xml:space="preserve">Erick Salvador Conchas Garcia </t>
  </si>
  <si>
    <t xml:space="preserve">Alfredo Trejo Banda </t>
  </si>
  <si>
    <t xml:space="preserve">Encargado de pozo </t>
  </si>
  <si>
    <t>J. Jesus Guillemin Rubio</t>
  </si>
  <si>
    <t xml:space="preserve">Maria Guadalupe Garcia Echeverria </t>
  </si>
  <si>
    <t>Policia vial</t>
  </si>
  <si>
    <t xml:space="preserve">Jose Alberto Saavedra Martinez </t>
  </si>
  <si>
    <t xml:space="preserve">Jose Alvarez Quintero </t>
  </si>
  <si>
    <t xml:space="preserve">Juan Ricardo Barcenas Zaragoza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</si>
  <si>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</si>
  <si>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</si>
  <si>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</si>
  <si>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</si>
  <si>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 xml:space="preserve">Gabriela Sotelo Valadez </t>
  </si>
  <si>
    <t xml:space="preserve">Eduardo Barron Rodriguez </t>
  </si>
  <si>
    <t xml:space="preserve">Iris Deni Chavez Balderas </t>
  </si>
  <si>
    <t xml:space="preserve">Angelica Maria Camarena Salazar </t>
  </si>
  <si>
    <t xml:space="preserve">Juana Cruz Comparan </t>
  </si>
  <si>
    <t xml:space="preserve">Intendente Unidad Deportiva </t>
  </si>
  <si>
    <t>ADMINISTRACIÓN 2021-2024</t>
  </si>
  <si>
    <t>Miguel Angel Saldaña Luviano</t>
  </si>
  <si>
    <t>Jorge Alberto Navarro Gaytan</t>
  </si>
  <si>
    <t>Jose de Jesus Medina Banda</t>
  </si>
  <si>
    <t>Vicente Velazquez Camarena</t>
  </si>
  <si>
    <t xml:space="preserve"> Jose Martin Trejo Arambula</t>
  </si>
  <si>
    <t>Edith Hernandez Gonzalez</t>
  </si>
  <si>
    <t>Auxiliar administrativo</t>
  </si>
  <si>
    <t>Juan Carlos Martinez Loza</t>
  </si>
  <si>
    <t xml:space="preserve">Delegado </t>
  </si>
  <si>
    <t>Operdor</t>
  </si>
  <si>
    <t>Oficial Registro civil</t>
  </si>
  <si>
    <t>Directora de Investigacion</t>
  </si>
  <si>
    <t>Director de Auditoria y Revision Hacendaria</t>
  </si>
  <si>
    <t>CONTRALORIA</t>
  </si>
  <si>
    <t>ORGANO INTERNO DE CONTROL</t>
  </si>
  <si>
    <t>Ma. Dolores Rizo Vazquez</t>
  </si>
  <si>
    <t>Encargada de CDC</t>
  </si>
  <si>
    <t>DIRECCIÓN DE CULTURA</t>
  </si>
  <si>
    <t>DIRECCIÓN DE OBRAS PÚBLICAS  Y PLANEACION URBANA</t>
  </si>
  <si>
    <t xml:space="preserve">Francisco Javier Velasco Tabarez </t>
  </si>
  <si>
    <r>
      <t xml:space="preserve">TOTAL PAGO </t>
    </r>
    <r>
      <rPr>
        <b/>
        <sz val="12"/>
        <color rgb="FF0070C0"/>
        <rFont val="Arial"/>
        <family val="2"/>
      </rPr>
      <t>HDA.</t>
    </r>
    <r>
      <rPr>
        <b/>
        <sz val="12"/>
        <rFont val="Arial"/>
        <family val="2"/>
      </rPr>
      <t xml:space="preserve"> ELECTRONICO:</t>
    </r>
  </si>
  <si>
    <r>
      <t xml:space="preserve">TOTAL PAGO </t>
    </r>
    <r>
      <rPr>
        <b/>
        <sz val="12"/>
        <color rgb="FF0070C0"/>
        <rFont val="Arial"/>
        <family val="2"/>
      </rPr>
      <t>SP</t>
    </r>
    <r>
      <rPr>
        <b/>
        <sz val="12"/>
        <rFont val="Arial"/>
        <family val="2"/>
      </rPr>
      <t xml:space="preserve"> ELECTRONICO:</t>
    </r>
  </si>
  <si>
    <t>Juan Carlos Hurtado Escoto</t>
  </si>
  <si>
    <t>Jose de Jesus Rizo Garcia</t>
  </si>
  <si>
    <t>David Guadalupe Perez Lopez</t>
  </si>
  <si>
    <t>Martha Rivas Mendoza</t>
  </si>
  <si>
    <t>Secretario Atencion Ciudadana</t>
  </si>
  <si>
    <t>Jose Manuel Alvarado Rivera</t>
  </si>
  <si>
    <t>Hector Copado Rizo</t>
  </si>
  <si>
    <t>Luis Ignacio Enrique Delgadillo</t>
  </si>
  <si>
    <t>Leticia Juárez Huichapa.</t>
  </si>
  <si>
    <t>Agustin Bautista Navarrete</t>
  </si>
  <si>
    <t>Javier Hernandez Vargas</t>
  </si>
  <si>
    <t xml:space="preserve">Arturo Javier Redrujo Gonzalez </t>
  </si>
  <si>
    <t xml:space="preserve">           A la cuenta 0118352488  la cantidad de: 0118352488</t>
  </si>
  <si>
    <t xml:space="preserve">           A la cuenta0170501425 la cantidad de: 0170501425</t>
  </si>
  <si>
    <t>Jose de Jesus Huerta Cardenas</t>
  </si>
  <si>
    <t>Instructos de Banda de Guerra</t>
  </si>
  <si>
    <t>Pensionada</t>
  </si>
  <si>
    <t>Angelina DeOrta Camacho</t>
  </si>
  <si>
    <t>DIRECCIÓN DE DESARROLLO AGROPECUARIO Y ECOLOGIA</t>
  </si>
  <si>
    <t>Director</t>
  </si>
  <si>
    <t>Encargado de Egresos</t>
  </si>
  <si>
    <t>Javier Valadez Zaragoza</t>
  </si>
  <si>
    <t>Juan Manuel Tovar Dominguez</t>
  </si>
  <si>
    <t>Edgar Mauricio Garcia Vera</t>
  </si>
  <si>
    <t>Juan Carlos Rojo Alatorre</t>
  </si>
  <si>
    <t>Encargado de Despacho</t>
  </si>
  <si>
    <t>Erika Rodarte Zarate</t>
  </si>
  <si>
    <t>Chofer Vehiculos de Emergencia</t>
  </si>
  <si>
    <t>José Luis Fuentes Hernández.</t>
  </si>
  <si>
    <t>Lourdes Garcia Esquivel</t>
  </si>
  <si>
    <t>Celia Garcia Reynoso</t>
  </si>
  <si>
    <t>Agustin Mendez Morales</t>
  </si>
  <si>
    <t>Auxiliar  administrativa comunicación social</t>
  </si>
  <si>
    <t>Chofer de Rutas Foraneas</t>
  </si>
  <si>
    <t>Sanjuana Gonzalez Redrujo</t>
  </si>
  <si>
    <t>Jose Manuel Caloca Cruz</t>
  </si>
  <si>
    <t>Adriana Lizeth Marquez Quintero</t>
  </si>
  <si>
    <t>Lisandro Trejo Morales</t>
  </si>
  <si>
    <t>Secretario Casa de la Cultura</t>
  </si>
  <si>
    <t>Jefe de Albañiles</t>
  </si>
  <si>
    <t>Ramiro Ismael Cedillo Delgado</t>
  </si>
  <si>
    <t>Encargada</t>
  </si>
  <si>
    <t>.</t>
  </si>
  <si>
    <t>Antony Fabian Trejo Banda</t>
  </si>
  <si>
    <t>Fernando Ignacio Leon Flores</t>
  </si>
  <si>
    <t>Jefe de Mecanicos</t>
  </si>
  <si>
    <t>3 ° Oficial</t>
  </si>
  <si>
    <t>Maria Monserrat Marquez Ayala</t>
  </si>
  <si>
    <t xml:space="preserve">Guillermo Amezola Fonseca </t>
  </si>
  <si>
    <t>Antonio Herrera Lopez</t>
  </si>
  <si>
    <t>Auxiliar</t>
  </si>
  <si>
    <t>Jose Luis Lara Jimenez</t>
  </si>
  <si>
    <t>Salvador Ulises Rodriguez Mendez</t>
  </si>
  <si>
    <t>Maura Flores Rodriguez</t>
  </si>
  <si>
    <t>Delegada Suplente</t>
  </si>
  <si>
    <t>Elizabeth Rodriguez</t>
  </si>
  <si>
    <t>Auxiliar Administrativa</t>
  </si>
  <si>
    <t>Joel Alcala Tovar</t>
  </si>
  <si>
    <t>Regidor Suplente</t>
  </si>
  <si>
    <t>Juan Omar Davalos Zamora</t>
  </si>
  <si>
    <t>Presidente Interina</t>
  </si>
  <si>
    <t>Elva Lucia Ramirez Hurtado</t>
  </si>
  <si>
    <t>Encargada de Despacho</t>
  </si>
  <si>
    <t>M Carmen  Madrigal Solis</t>
  </si>
  <si>
    <t>Sindico Interino</t>
  </si>
  <si>
    <t>Ramon Ignacio Gama Hernandez</t>
  </si>
  <si>
    <t>Nómina que corresponde a la  1ER.  (PRRIMER    )QUINCENA   del mes de MAYO  de 2024.</t>
  </si>
  <si>
    <t>Joaquin Alejandro De Orta Gonzalez</t>
  </si>
  <si>
    <t>Nómina que corresponde a la 1er.  (PRIMER  ) quincena del mes de MAYO 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</si>
</sst>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.0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9"/>
      <name val="Bookman Old Style"/>
      <family val="1"/>
    </font>
    <font>
      <sz val="11"/>
      <color rgb="FF006100"/>
      <name val="Calibri"/>
      <family val="2"/>
      <scheme val="minor"/>
    </font>
    <font>
      <sz val="12"/>
      <name val="Arial"/>
      <family val="2"/>
    </font>
    <font>
      <b/>
      <sz val="12"/>
      <color rgb="FF7030A0"/>
      <name val="Arial"/>
      <family val="2"/>
    </font>
    <font>
      <sz val="14"/>
      <name val="Arial"/>
      <family val="2"/>
    </font>
    <font>
      <b/>
      <sz val="14"/>
      <color rgb="FF7030A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2"/>
      <color indexed="8"/>
      <name val="Arial"/>
      <family val="2"/>
    </font>
    <font>
      <b/>
      <sz val="12"/>
      <color rgb="FF0070C0"/>
      <name val="Arial"/>
      <family val="2"/>
    </font>
    <font>
      <sz val="14"/>
      <color indexed="8"/>
      <name val="Arial"/>
      <family val="2"/>
    </font>
    <font>
      <b/>
      <sz val="14"/>
      <color rgb="FF0070C0"/>
      <name val="Arial"/>
      <family val="2"/>
    </font>
    <font>
      <sz val="12"/>
      <color indexed="62"/>
      <name val="Arial"/>
      <family val="2"/>
    </font>
    <font>
      <b/>
      <sz val="12"/>
      <color theme="3" tint="0.39997558519241921"/>
      <name val="Arial"/>
      <family val="2"/>
    </font>
    <font>
      <sz val="12"/>
      <color rgb="FFC00000"/>
      <name val="Arial"/>
      <family val="2"/>
    </font>
    <font>
      <b/>
      <sz val="12"/>
      <color rgb="FFC00000"/>
      <name val="Arial"/>
      <family val="2"/>
    </font>
    <font>
      <b/>
      <sz val="12"/>
      <color rgb="FF00B050"/>
      <name val="Arial"/>
      <family val="2"/>
    </font>
    <font>
      <sz val="11"/>
      <name val="Arial"/>
      <family val="2"/>
    </font>
    <font>
      <sz val="11"/>
      <color rgb="FF9C0006"/>
      <name val="Calibri"/>
      <family val="2"/>
      <scheme val="minor"/>
    </font>
    <font>
      <sz val="14"/>
      <color rgb="FF006100"/>
      <name val="Arial"/>
      <family val="2"/>
    </font>
    <font>
      <b/>
      <sz val="11"/>
      <color rgb="FF0061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9966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DashDot">
        <color theme="5" tint="0.39994506668294322"/>
      </top>
      <bottom style="mediumDashDot">
        <color theme="5" tint="0.39994506668294322"/>
      </bottom>
      <diagonal/>
    </border>
    <border>
      <left/>
      <right style="medium">
        <color theme="9" tint="0.39991454817346722"/>
      </right>
      <top/>
      <bottom/>
      <diagonal/>
    </border>
    <border>
      <left style="medium">
        <color theme="9" tint="0.39994506668294322"/>
      </left>
      <right style="thin">
        <color indexed="64"/>
      </right>
      <top style="medium">
        <color theme="9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9" tint="0.39994506668294322"/>
      </top>
      <bottom style="thin">
        <color indexed="64"/>
      </bottom>
      <diagonal/>
    </border>
    <border>
      <left style="medium">
        <color theme="9" tint="0.399945066682943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0.39994506668294322"/>
      </left>
      <right style="thin">
        <color indexed="64"/>
      </right>
      <top style="thin">
        <color indexed="64"/>
      </top>
      <bottom style="medium">
        <color theme="9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9" tint="0.39994506668294322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ck">
        <color theme="3" tint="0.39994506668294322"/>
      </left>
      <right/>
      <top/>
      <bottom style="thick">
        <color theme="3" tint="0.39994506668294322"/>
      </bottom>
      <diagonal/>
    </border>
    <border>
      <left style="thick">
        <color theme="3" tint="0.39991454817346722"/>
      </left>
      <right/>
      <top/>
      <bottom/>
      <diagonal/>
    </border>
    <border>
      <left/>
      <right style="thick">
        <color theme="3" tint="0.39991454817346722"/>
      </right>
      <top/>
      <bottom/>
      <diagonal/>
    </border>
    <border>
      <left/>
      <right/>
      <top style="thick">
        <color theme="3" tint="0.39994506668294322"/>
      </top>
      <bottom style="thick">
        <color theme="3" tint="0.39994506668294322"/>
      </bottom>
      <diagonal/>
    </border>
    <border>
      <left/>
      <right style="thick">
        <color theme="3" tint="0.39994506668294322"/>
      </right>
      <top style="thick">
        <color theme="3" tint="0.39994506668294322"/>
      </top>
      <bottom style="thick">
        <color theme="3" tint="0.39994506668294322"/>
      </bottom>
      <diagonal/>
    </border>
    <border>
      <left style="medium">
        <color theme="3" tint="0.39991454817346722"/>
      </left>
      <right style="thick">
        <color theme="3" tint="0.39991454817346722"/>
      </right>
      <top/>
      <bottom style="thick">
        <color theme="3" tint="0.39994506668294322"/>
      </bottom>
      <diagonal/>
    </border>
    <border>
      <left style="medium">
        <color theme="3" tint="0.39988402966399123"/>
      </left>
      <right style="thick">
        <color theme="3" tint="0.39991454817346722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/>
      <top/>
      <bottom style="mediumDashDot">
        <color theme="5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medium">
        <color theme="3" tint="0.39988402966399123"/>
      </left>
      <right style="medium">
        <color theme="3" tint="0.3998535111545152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/>
      <diagonal/>
    </border>
    <border>
      <left/>
      <right/>
      <top style="mediumDashDot">
        <color theme="5" tint="0.399945066682943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double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double">
        <color auto="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DashDot">
        <color theme="5" tint="0.39994506668294322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double">
        <color indexed="64"/>
      </bottom>
      <diagonal/>
    </border>
    <border>
      <left/>
      <right/>
      <top style="thin">
        <color theme="0" tint="-0.14999847407452621"/>
      </top>
      <bottom style="mediumDashDot">
        <color theme="5" tint="0.39994506668294322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double">
        <color indexed="64"/>
      </bottom>
      <diagonal/>
    </border>
    <border>
      <left style="thin">
        <color theme="0" tint="-0.14999847407452621"/>
      </left>
      <right/>
      <top/>
      <bottom style="double">
        <color indexed="64"/>
      </bottom>
      <diagonal/>
    </border>
    <border>
      <left/>
      <right style="thin">
        <color theme="0" tint="-0.1499984740745262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</borders>
  <cellStyleXfs count="5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3" applyNumberFormat="0" applyFill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21" fillId="0" borderId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4" fillId="32" borderId="0" applyNumberFormat="0" applyBorder="0" applyAlignment="0" applyProtection="0"/>
    <xf numFmtId="0" fontId="45" fillId="35" borderId="0" applyNumberFormat="0" applyBorder="0" applyAlignment="0" applyProtection="0"/>
    <xf numFmtId="0" fontId="1" fillId="36" borderId="0" applyNumberFormat="0" applyBorder="0" applyAlignment="0" applyProtection="0"/>
  </cellStyleXfs>
  <cellXfs count="404">
    <xf numFmtId="0" fontId="0" fillId="0" borderId="0" xfId="0"/>
    <xf numFmtId="0" fontId="22" fillId="0" borderId="0" xfId="0" applyFont="1" applyFill="1"/>
    <xf numFmtId="0" fontId="22" fillId="0" borderId="0" xfId="0" applyFont="1" applyFill="1" applyBorder="1"/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2" fillId="26" borderId="0" xfId="0" applyFont="1" applyFill="1"/>
    <xf numFmtId="0" fontId="22" fillId="27" borderId="0" xfId="0" applyFont="1" applyFill="1"/>
    <xf numFmtId="0" fontId="22" fillId="24" borderId="0" xfId="0" applyFont="1" applyFill="1"/>
    <xf numFmtId="0" fontId="22" fillId="31" borderId="0" xfId="0" applyFont="1" applyFill="1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9" fillId="25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0" fontId="31" fillId="25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25" borderId="72" xfId="0" applyFont="1" applyFill="1" applyBorder="1" applyAlignment="1">
      <alignment vertical="center"/>
    </xf>
    <xf numFmtId="0" fontId="25" fillId="30" borderId="0" xfId="0" applyFont="1" applyFill="1" applyAlignment="1">
      <alignment horizontal="center" vertical="center"/>
    </xf>
    <xf numFmtId="0" fontId="31" fillId="25" borderId="61" xfId="0" applyFont="1" applyFill="1" applyBorder="1" applyAlignment="1">
      <alignment vertical="center"/>
    </xf>
    <xf numFmtId="0" fontId="25" fillId="30" borderId="0" xfId="0" applyFont="1" applyFill="1" applyAlignment="1">
      <alignment horizontal="center" vertical="center" wrapText="1"/>
    </xf>
    <xf numFmtId="0" fontId="25" fillId="0" borderId="6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72" xfId="0" applyFont="1" applyFill="1" applyBorder="1" applyAlignment="1">
      <alignment horizontal="center" vertical="center"/>
    </xf>
    <xf numFmtId="0" fontId="25" fillId="0" borderId="0" xfId="0" applyFont="1" applyFill="1"/>
    <xf numFmtId="0" fontId="31" fillId="30" borderId="0" xfId="0" applyFont="1" applyFill="1" applyBorder="1" applyAlignment="1">
      <alignment vertical="center"/>
    </xf>
    <xf numFmtId="0" fontId="26" fillId="25" borderId="0" xfId="0" applyFont="1" applyFill="1" applyBorder="1" applyAlignment="1"/>
    <xf numFmtId="0" fontId="25" fillId="0" borderId="69" xfId="0" applyFont="1" applyFill="1" applyBorder="1" applyAlignment="1">
      <alignment horizontal="center" vertical="center"/>
    </xf>
    <xf numFmtId="0" fontId="25" fillId="24" borderId="69" xfId="0" applyFont="1" applyFill="1" applyBorder="1" applyAlignment="1">
      <alignment horizontal="center" vertical="center" wrapText="1"/>
    </xf>
    <xf numFmtId="0" fontId="25" fillId="24" borderId="59" xfId="0" applyFont="1" applyFill="1" applyBorder="1" applyAlignment="1">
      <alignment horizontal="center" vertical="center" wrapText="1"/>
    </xf>
    <xf numFmtId="0" fontId="25" fillId="0" borderId="69" xfId="0" applyFont="1" applyFill="1" applyBorder="1" applyAlignment="1">
      <alignment horizontal="center" vertical="center" wrapText="1"/>
    </xf>
    <xf numFmtId="0" fontId="25" fillId="0" borderId="6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31" borderId="0" xfId="0" applyFont="1" applyFill="1" applyAlignment="1">
      <alignment vertical="center"/>
    </xf>
    <xf numFmtId="0" fontId="29" fillId="25" borderId="72" xfId="0" applyFont="1" applyFill="1" applyBorder="1" applyAlignment="1">
      <alignment vertical="center"/>
    </xf>
    <xf numFmtId="0" fontId="29" fillId="25" borderId="61" xfId="0" applyFont="1" applyFill="1" applyBorder="1" applyAlignment="1">
      <alignment vertical="center"/>
    </xf>
    <xf numFmtId="0" fontId="27" fillId="0" borderId="0" xfId="0" applyFont="1" applyFill="1"/>
    <xf numFmtId="0" fontId="28" fillId="25" borderId="0" xfId="0" applyFont="1" applyFill="1" applyBorder="1" applyAlignment="1"/>
    <xf numFmtId="0" fontId="28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33" fillId="0" borderId="43" xfId="0" applyFont="1" applyFill="1" applyBorder="1" applyAlignment="1">
      <alignment horizontal="center" vertical="center"/>
    </xf>
    <xf numFmtId="165" fontId="33" fillId="28" borderId="0" xfId="38" applyFont="1" applyFill="1" applyBorder="1" applyAlignment="1"/>
    <xf numFmtId="165" fontId="33" fillId="28" borderId="46" xfId="38" applyFont="1" applyFill="1" applyBorder="1" applyAlignment="1">
      <alignment horizontal="center"/>
    </xf>
    <xf numFmtId="165" fontId="33" fillId="28" borderId="10" xfId="38" applyFont="1" applyFill="1" applyBorder="1" applyAlignment="1">
      <alignment horizontal="center"/>
    </xf>
    <xf numFmtId="165" fontId="33" fillId="28" borderId="0" xfId="38" applyFont="1" applyFill="1" applyBorder="1" applyAlignment="1">
      <alignment horizontal="center"/>
    </xf>
    <xf numFmtId="0" fontId="27" fillId="0" borderId="0" xfId="0" applyFont="1" applyFill="1" applyBorder="1" applyAlignment="1">
      <alignment horizontal="left" vertical="center" wrapText="1"/>
    </xf>
    <xf numFmtId="0" fontId="27" fillId="3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34" fillId="30" borderId="0" xfId="0" applyFont="1" applyFill="1" applyBorder="1" applyAlignment="1">
      <alignment horizontal="left" vertical="center" wrapText="1"/>
    </xf>
    <xf numFmtId="4" fontId="27" fillId="30" borderId="0" xfId="0" applyNumberFormat="1" applyFont="1" applyFill="1" applyAlignment="1">
      <alignment vertical="center" wrapText="1"/>
    </xf>
    <xf numFmtId="0" fontId="34" fillId="30" borderId="0" xfId="0" applyFont="1" applyFill="1" applyBorder="1" applyAlignment="1">
      <alignment vertical="center" wrapText="1"/>
    </xf>
    <xf numFmtId="0" fontId="31" fillId="25" borderId="60" xfId="0" applyFont="1" applyFill="1" applyBorder="1" applyAlignment="1">
      <alignment vertical="center"/>
    </xf>
    <xf numFmtId="0" fontId="27" fillId="0" borderId="0" xfId="0" applyFont="1" applyFill="1" applyAlignment="1">
      <alignment wrapText="1"/>
    </xf>
    <xf numFmtId="0" fontId="29" fillId="25" borderId="60" xfId="0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60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vertical="center" wrapText="1"/>
    </xf>
    <xf numFmtId="0" fontId="27" fillId="30" borderId="0" xfId="0" applyFont="1" applyFill="1" applyBorder="1" applyAlignment="1">
      <alignment horizontal="left" vertical="center"/>
    </xf>
    <xf numFmtId="0" fontId="27" fillId="30" borderId="0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wrapText="1"/>
    </xf>
    <xf numFmtId="0" fontId="27" fillId="0" borderId="64" xfId="0" applyFont="1" applyFill="1" applyBorder="1" applyAlignment="1">
      <alignment horizontal="left" vertical="center" wrapText="1"/>
    </xf>
    <xf numFmtId="0" fontId="27" fillId="0" borderId="64" xfId="0" applyFont="1" applyFill="1" applyBorder="1" applyAlignment="1">
      <alignment horizontal="left" wrapText="1"/>
    </xf>
    <xf numFmtId="0" fontId="27" fillId="30" borderId="0" xfId="0" applyFont="1" applyFill="1" applyAlignment="1">
      <alignment horizontal="left" vertical="center"/>
    </xf>
    <xf numFmtId="0" fontId="27" fillId="24" borderId="59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center" wrapText="1"/>
    </xf>
    <xf numFmtId="0" fontId="27" fillId="0" borderId="66" xfId="0" applyFont="1" applyFill="1" applyBorder="1" applyAlignment="1">
      <alignment horizontal="left" vertical="center" wrapText="1"/>
    </xf>
    <xf numFmtId="0" fontId="27" fillId="30" borderId="0" xfId="0" applyFont="1" applyFill="1" applyBorder="1" applyAlignment="1">
      <alignment vertical="center"/>
    </xf>
    <xf numFmtId="0" fontId="27" fillId="24" borderId="68" xfId="0" applyFont="1" applyFill="1" applyBorder="1" applyAlignment="1">
      <alignment horizontal="left" vertical="center" wrapText="1"/>
    </xf>
    <xf numFmtId="0" fontId="27" fillId="0" borderId="68" xfId="0" applyFont="1" applyFill="1" applyBorder="1" applyAlignment="1">
      <alignment horizontal="left" vertical="center" wrapText="1"/>
    </xf>
    <xf numFmtId="0" fontId="27" fillId="24" borderId="69" xfId="0" applyFont="1" applyFill="1" applyBorder="1" applyAlignment="1">
      <alignment horizontal="left" vertical="center" wrapText="1"/>
    </xf>
    <xf numFmtId="0" fontId="27" fillId="0" borderId="59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vertical="center"/>
    </xf>
    <xf numFmtId="0" fontId="27" fillId="0" borderId="74" xfId="0" applyFont="1" applyFill="1" applyBorder="1" applyAlignment="1">
      <alignment horizontal="left" vertical="center" wrapText="1"/>
    </xf>
    <xf numFmtId="0" fontId="27" fillId="0" borderId="69" xfId="0" applyFont="1" applyFill="1" applyBorder="1" applyAlignment="1">
      <alignment horizontal="left" vertical="center" wrapText="1"/>
    </xf>
    <xf numFmtId="0" fontId="28" fillId="25" borderId="0" xfId="0" applyFont="1" applyFill="1" applyBorder="1" applyAlignment="1">
      <alignment horizontal="left" vertical="center"/>
    </xf>
    <xf numFmtId="0" fontId="27" fillId="0" borderId="73" xfId="0" applyFont="1" applyFill="1" applyBorder="1" applyAlignment="1">
      <alignment horizontal="left" vertical="center" wrapText="1"/>
    </xf>
    <xf numFmtId="0" fontId="27" fillId="24" borderId="6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72" xfId="0" applyFont="1" applyFill="1" applyBorder="1" applyAlignment="1">
      <alignment horizontal="left" vertical="center" wrapText="1"/>
    </xf>
    <xf numFmtId="0" fontId="27" fillId="24" borderId="60" xfId="0" applyFont="1" applyFill="1" applyBorder="1" applyAlignment="1">
      <alignment horizontal="left" vertical="center" wrapText="1"/>
    </xf>
    <xf numFmtId="0" fontId="27" fillId="0" borderId="60" xfId="0" applyFont="1" applyFill="1" applyBorder="1" applyAlignment="1">
      <alignment vertical="center" wrapText="1"/>
    </xf>
    <xf numFmtId="0" fontId="27" fillId="0" borderId="65" xfId="0" applyFont="1" applyFill="1" applyBorder="1" applyAlignment="1">
      <alignment vertical="center" wrapText="1"/>
    </xf>
    <xf numFmtId="0" fontId="27" fillId="0" borderId="65" xfId="0" applyFont="1" applyFill="1" applyBorder="1" applyAlignment="1">
      <alignment horizontal="left" vertical="center" wrapText="1"/>
    </xf>
    <xf numFmtId="0" fontId="27" fillId="27" borderId="65" xfId="0" applyFont="1" applyFill="1" applyBorder="1" applyAlignment="1">
      <alignment horizontal="left" vertical="center" wrapText="1"/>
    </xf>
    <xf numFmtId="0" fontId="27" fillId="24" borderId="66" xfId="0" applyFont="1" applyFill="1" applyBorder="1" applyAlignment="1">
      <alignment horizontal="left" vertical="center" wrapText="1"/>
    </xf>
    <xf numFmtId="0" fontId="27" fillId="29" borderId="0" xfId="0" applyFont="1" applyFill="1" applyBorder="1" applyAlignment="1">
      <alignment horizontal="left" vertical="center" wrapText="1"/>
    </xf>
    <xf numFmtId="0" fontId="27" fillId="30" borderId="73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/>
    <xf numFmtId="0" fontId="37" fillId="0" borderId="0" xfId="0" applyFont="1" applyFill="1" applyBorder="1" applyAlignment="1">
      <alignment horizontal="left" vertical="center" wrapText="1"/>
    </xf>
    <xf numFmtId="0" fontId="27" fillId="0" borderId="64" xfId="0" applyFont="1" applyFill="1" applyBorder="1" applyAlignment="1">
      <alignment wrapText="1"/>
    </xf>
    <xf numFmtId="0" fontId="27" fillId="31" borderId="0" xfId="0" applyFont="1" applyFill="1" applyAlignment="1">
      <alignment wrapText="1"/>
    </xf>
    <xf numFmtId="0" fontId="33" fillId="0" borderId="14" xfId="0" applyFont="1" applyFill="1" applyBorder="1" applyAlignment="1">
      <alignment horizontal="left" vertical="center"/>
    </xf>
    <xf numFmtId="0" fontId="33" fillId="0" borderId="14" xfId="0" applyFont="1" applyFill="1" applyBorder="1" applyAlignment="1">
      <alignment horizontal="left" vertical="center" wrapText="1"/>
    </xf>
    <xf numFmtId="0" fontId="33" fillId="0" borderId="1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wrapText="1"/>
    </xf>
    <xf numFmtId="167" fontId="33" fillId="0" borderId="0" xfId="0" applyNumberFormat="1" applyFont="1" applyFill="1"/>
    <xf numFmtId="167" fontId="27" fillId="0" borderId="0" xfId="0" applyNumberFormat="1" applyFont="1" applyFill="1" applyBorder="1"/>
    <xf numFmtId="0" fontId="38" fillId="0" borderId="46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horizontal="center" vertical="center"/>
    </xf>
    <xf numFmtId="0" fontId="29" fillId="0" borderId="56" xfId="0" applyFont="1" applyFill="1" applyBorder="1" applyAlignment="1">
      <alignment horizontal="center" vertical="center"/>
    </xf>
    <xf numFmtId="0" fontId="27" fillId="28" borderId="0" xfId="0" applyFont="1" applyFill="1" applyAlignment="1">
      <alignment wrapText="1"/>
    </xf>
    <xf numFmtId="0" fontId="25" fillId="30" borderId="73" xfId="0" applyFont="1" applyFill="1" applyBorder="1" applyAlignment="1">
      <alignment horizontal="center" vertical="center"/>
    </xf>
    <xf numFmtId="0" fontId="25" fillId="24" borderId="62" xfId="0" applyFont="1" applyFill="1" applyBorder="1" applyAlignment="1">
      <alignment horizontal="center" vertical="center" wrapText="1"/>
    </xf>
    <xf numFmtId="0" fontId="25" fillId="0" borderId="59" xfId="0" applyFont="1" applyFill="1" applyBorder="1" applyAlignment="1">
      <alignment horizontal="center" vertical="center" wrapText="1"/>
    </xf>
    <xf numFmtId="0" fontId="25" fillId="30" borderId="59" xfId="0" applyFont="1" applyFill="1" applyBorder="1" applyAlignment="1">
      <alignment horizontal="center" vertical="center"/>
    </xf>
    <xf numFmtId="4" fontId="25" fillId="30" borderId="61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center" vertical="center" wrapText="1"/>
    </xf>
    <xf numFmtId="0" fontId="25" fillId="30" borderId="59" xfId="0" applyFont="1" applyFill="1" applyBorder="1" applyAlignment="1">
      <alignment horizontal="center" vertical="center" wrapText="1"/>
    </xf>
    <xf numFmtId="0" fontId="25" fillId="0" borderId="62" xfId="0" applyFont="1" applyFill="1" applyBorder="1" applyAlignment="1">
      <alignment horizontal="center" vertical="center" wrapText="1"/>
    </xf>
    <xf numFmtId="0" fontId="25" fillId="0" borderId="75" xfId="0" applyFont="1" applyFill="1" applyBorder="1" applyAlignment="1">
      <alignment horizontal="center" vertical="center" wrapText="1"/>
    </xf>
    <xf numFmtId="0" fontId="26" fillId="25" borderId="0" xfId="0" applyFont="1" applyFill="1" applyBorder="1" applyAlignment="1">
      <alignment horizontal="center" vertical="center"/>
    </xf>
    <xf numFmtId="0" fontId="25" fillId="30" borderId="68" xfId="0" applyFont="1" applyFill="1" applyBorder="1" applyAlignment="1">
      <alignment horizontal="center" vertical="center" wrapText="1"/>
    </xf>
    <xf numFmtId="0" fontId="25" fillId="24" borderId="62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 wrapText="1"/>
    </xf>
    <xf numFmtId="0" fontId="25" fillId="0" borderId="64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25" fillId="0" borderId="7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25" fillId="0" borderId="64" xfId="0" applyFont="1" applyFill="1" applyBorder="1" applyAlignment="1">
      <alignment horizontal="center" vertical="center" wrapText="1"/>
    </xf>
    <xf numFmtId="0" fontId="25" fillId="0" borderId="67" xfId="0" applyFont="1" applyFill="1" applyBorder="1" applyAlignment="1">
      <alignment horizontal="center" vertical="center" wrapText="1"/>
    </xf>
    <xf numFmtId="0" fontId="25" fillId="0" borderId="65" xfId="0" applyFont="1" applyFill="1" applyBorder="1" applyAlignment="1">
      <alignment horizontal="center" vertical="center" wrapText="1"/>
    </xf>
    <xf numFmtId="0" fontId="25" fillId="0" borderId="63" xfId="0" applyFont="1" applyFill="1" applyBorder="1" applyAlignment="1">
      <alignment horizontal="center" vertical="center" wrapText="1"/>
    </xf>
    <xf numFmtId="4" fontId="25" fillId="0" borderId="0" xfId="0" applyNumberFormat="1" applyFont="1" applyFill="1" applyAlignment="1">
      <alignment horizontal="center" vertical="center"/>
    </xf>
    <xf numFmtId="0" fontId="30" fillId="0" borderId="17" xfId="0" applyFont="1" applyFill="1" applyBorder="1" applyAlignment="1">
      <alignment horizontal="right" vertical="center"/>
    </xf>
    <xf numFmtId="167" fontId="25" fillId="0" borderId="0" xfId="0" applyNumberFormat="1" applyFont="1" applyFill="1" applyBorder="1" applyAlignment="1">
      <alignment horizontal="center" vertical="center"/>
    </xf>
    <xf numFmtId="167" fontId="25" fillId="0" borderId="0" xfId="0" applyNumberFormat="1" applyFont="1" applyFill="1" applyAlignment="1">
      <alignment horizontal="center" vertical="center"/>
    </xf>
    <xf numFmtId="167" fontId="30" fillId="0" borderId="0" xfId="0" applyNumberFormat="1" applyFont="1" applyFill="1" applyAlignment="1">
      <alignment horizontal="center" vertical="center"/>
    </xf>
    <xf numFmtId="0" fontId="30" fillId="0" borderId="18" xfId="0" applyFont="1" applyFill="1" applyBorder="1" applyAlignment="1">
      <alignment horizontal="right" vertical="center"/>
    </xf>
    <xf numFmtId="167" fontId="30" fillId="0" borderId="18" xfId="0" applyNumberFormat="1" applyFont="1" applyFill="1" applyBorder="1" applyAlignment="1">
      <alignment horizontal="center" vertical="center"/>
    </xf>
    <xf numFmtId="167" fontId="25" fillId="30" borderId="0" xfId="0" applyNumberFormat="1" applyFont="1" applyFill="1" applyAlignment="1">
      <alignment horizontal="center" vertical="center"/>
    </xf>
    <xf numFmtId="0" fontId="30" fillId="0" borderId="49" xfId="0" applyFont="1" applyFill="1" applyBorder="1" applyAlignment="1">
      <alignment horizontal="right" vertical="center"/>
    </xf>
    <xf numFmtId="167" fontId="30" fillId="0" borderId="49" xfId="0" applyNumberFormat="1" applyFont="1" applyFill="1" applyBorder="1" applyAlignment="1">
      <alignment horizontal="center" vertical="center"/>
    </xf>
    <xf numFmtId="167" fontId="25" fillId="30" borderId="0" xfId="0" applyNumberFormat="1" applyFont="1" applyFill="1" applyBorder="1" applyAlignment="1">
      <alignment horizontal="center" vertical="center"/>
    </xf>
    <xf numFmtId="167" fontId="30" fillId="0" borderId="11" xfId="0" applyNumberFormat="1" applyFont="1" applyFill="1" applyBorder="1" applyAlignment="1">
      <alignment horizontal="center" vertical="center"/>
    </xf>
    <xf numFmtId="167" fontId="30" fillId="0" borderId="0" xfId="0" applyNumberFormat="1" applyFont="1" applyFill="1" applyBorder="1" applyAlignment="1">
      <alignment horizontal="center" vertical="center"/>
    </xf>
    <xf numFmtId="0" fontId="31" fillId="25" borderId="75" xfId="0" applyFont="1" applyFill="1" applyBorder="1" applyAlignment="1">
      <alignment vertical="center"/>
    </xf>
    <xf numFmtId="167" fontId="25" fillId="0" borderId="62" xfId="0" applyNumberFormat="1" applyFont="1" applyFill="1" applyBorder="1" applyAlignment="1">
      <alignment horizontal="center" vertical="center"/>
    </xf>
    <xf numFmtId="167" fontId="25" fillId="0" borderId="68" xfId="0" applyNumberFormat="1" applyFont="1" applyFill="1" applyBorder="1" applyAlignment="1">
      <alignment horizontal="center" vertical="center"/>
    </xf>
    <xf numFmtId="167" fontId="25" fillId="0" borderId="61" xfId="0" applyNumberFormat="1" applyFont="1" applyFill="1" applyBorder="1" applyAlignment="1">
      <alignment horizontal="center" vertical="center"/>
    </xf>
    <xf numFmtId="167" fontId="25" fillId="0" borderId="59" xfId="0" applyNumberFormat="1" applyFont="1" applyFill="1" applyBorder="1" applyAlignment="1">
      <alignment horizontal="center" vertical="center"/>
    </xf>
    <xf numFmtId="167" fontId="25" fillId="24" borderId="59" xfId="0" applyNumberFormat="1" applyFont="1" applyFill="1" applyBorder="1" applyAlignment="1">
      <alignment horizontal="center" vertical="center"/>
    </xf>
    <xf numFmtId="167" fontId="25" fillId="24" borderId="60" xfId="0" applyNumberFormat="1" applyFont="1" applyFill="1" applyBorder="1" applyAlignment="1">
      <alignment horizontal="center" vertical="center"/>
    </xf>
    <xf numFmtId="167" fontId="25" fillId="0" borderId="69" xfId="0" applyNumberFormat="1" applyFont="1" applyFill="1" applyBorder="1" applyAlignment="1">
      <alignment horizontal="center" vertical="center"/>
    </xf>
    <xf numFmtId="167" fontId="30" fillId="0" borderId="41" xfId="0" applyNumberFormat="1" applyFont="1" applyFill="1" applyBorder="1" applyAlignment="1">
      <alignment horizontal="center" vertical="center"/>
    </xf>
    <xf numFmtId="167" fontId="25" fillId="30" borderId="59" xfId="0" applyNumberFormat="1" applyFont="1" applyFill="1" applyBorder="1" applyAlignment="1">
      <alignment horizontal="center" vertical="center"/>
    </xf>
    <xf numFmtId="167" fontId="25" fillId="30" borderId="62" xfId="0" applyNumberFormat="1" applyFont="1" applyFill="1" applyBorder="1" applyAlignment="1">
      <alignment horizontal="center" vertical="center"/>
    </xf>
    <xf numFmtId="167" fontId="25" fillId="30" borderId="61" xfId="0" applyNumberFormat="1" applyFont="1" applyFill="1" applyBorder="1" applyAlignment="1">
      <alignment horizontal="center" vertical="center"/>
    </xf>
    <xf numFmtId="167" fontId="25" fillId="30" borderId="60" xfId="0" applyNumberFormat="1" applyFont="1" applyFill="1" applyBorder="1" applyAlignment="1">
      <alignment horizontal="center" vertical="center"/>
    </xf>
    <xf numFmtId="167" fontId="30" fillId="0" borderId="68" xfId="0" applyNumberFormat="1" applyFont="1" applyFill="1" applyBorder="1" applyAlignment="1">
      <alignment horizontal="center" vertical="center"/>
    </xf>
    <xf numFmtId="0" fontId="30" fillId="0" borderId="41" xfId="0" applyFont="1" applyFill="1" applyBorder="1" applyAlignment="1">
      <alignment horizontal="right" vertical="center"/>
    </xf>
    <xf numFmtId="167" fontId="30" fillId="0" borderId="77" xfId="0" applyNumberFormat="1" applyFont="1" applyFill="1" applyBorder="1" applyAlignment="1">
      <alignment horizontal="center" vertical="center"/>
    </xf>
    <xf numFmtId="0" fontId="31" fillId="25" borderId="66" xfId="0" applyFont="1" applyFill="1" applyBorder="1" applyAlignment="1">
      <alignment vertical="center"/>
    </xf>
    <xf numFmtId="167" fontId="25" fillId="30" borderId="69" xfId="0" applyNumberFormat="1" applyFont="1" applyFill="1" applyBorder="1" applyAlignment="1">
      <alignment horizontal="center" vertical="center"/>
    </xf>
    <xf numFmtId="0" fontId="25" fillId="30" borderId="0" xfId="0" applyFont="1" applyFill="1"/>
    <xf numFmtId="167" fontId="25" fillId="0" borderId="76" xfId="0" applyNumberFormat="1" applyFont="1" applyFill="1" applyBorder="1" applyAlignment="1">
      <alignment horizontal="center" vertical="center"/>
    </xf>
    <xf numFmtId="167" fontId="25" fillId="0" borderId="78" xfId="0" applyNumberFormat="1" applyFont="1" applyFill="1" applyBorder="1" applyAlignment="1">
      <alignment horizontal="center" vertical="center"/>
    </xf>
    <xf numFmtId="167" fontId="25" fillId="0" borderId="64" xfId="0" applyNumberFormat="1" applyFont="1" applyFill="1" applyBorder="1" applyAlignment="1">
      <alignment horizontal="center" vertical="center"/>
    </xf>
    <xf numFmtId="167" fontId="25" fillId="24" borderId="62" xfId="0" applyNumberFormat="1" applyFont="1" applyFill="1" applyBorder="1" applyAlignment="1">
      <alignment horizontal="center" vertical="center"/>
    </xf>
    <xf numFmtId="167" fontId="25" fillId="0" borderId="63" xfId="0" applyNumberFormat="1" applyFont="1" applyFill="1" applyBorder="1" applyAlignment="1">
      <alignment horizontal="center" vertical="center"/>
    </xf>
    <xf numFmtId="167" fontId="35" fillId="24" borderId="67" xfId="0" applyNumberFormat="1" applyFont="1" applyFill="1" applyBorder="1" applyAlignment="1">
      <alignment horizontal="center" vertical="center"/>
    </xf>
    <xf numFmtId="167" fontId="35" fillId="24" borderId="69" xfId="0" applyNumberFormat="1" applyFont="1" applyFill="1" applyBorder="1" applyAlignment="1">
      <alignment horizontal="center" vertical="center"/>
    </xf>
    <xf numFmtId="167" fontId="25" fillId="0" borderId="72" xfId="0" applyNumberFormat="1" applyFont="1" applyFill="1" applyBorder="1" applyAlignment="1">
      <alignment horizontal="center" vertical="center"/>
    </xf>
    <xf numFmtId="167" fontId="25" fillId="0" borderId="67" xfId="0" applyNumberFormat="1" applyFont="1" applyFill="1" applyBorder="1" applyAlignment="1">
      <alignment horizontal="center" vertical="center"/>
    </xf>
    <xf numFmtId="0" fontId="35" fillId="0" borderId="62" xfId="0" applyFont="1" applyFill="1" applyBorder="1" applyAlignment="1">
      <alignment horizontal="center" vertical="center" wrapText="1"/>
    </xf>
    <xf numFmtId="167" fontId="35" fillId="0" borderId="63" xfId="0" applyNumberFormat="1" applyFont="1" applyFill="1" applyBorder="1" applyAlignment="1">
      <alignment horizontal="center" vertical="center"/>
    </xf>
    <xf numFmtId="167" fontId="25" fillId="0" borderId="0" xfId="0" applyNumberFormat="1" applyFont="1" applyFill="1" applyBorder="1" applyAlignment="1">
      <alignment horizontal="center"/>
    </xf>
    <xf numFmtId="167" fontId="35" fillId="0" borderId="68" xfId="0" applyNumberFormat="1" applyFont="1" applyFill="1" applyBorder="1" applyAlignment="1">
      <alignment horizontal="center" vertical="center"/>
    </xf>
    <xf numFmtId="167" fontId="35" fillId="0" borderId="0" xfId="0" applyNumberFormat="1" applyFont="1" applyFill="1" applyBorder="1" applyAlignment="1">
      <alignment horizontal="center" vertical="center"/>
    </xf>
    <xf numFmtId="0" fontId="30" fillId="0" borderId="79" xfId="0" applyFont="1" applyFill="1" applyBorder="1" applyAlignment="1">
      <alignment horizontal="right" vertical="center"/>
    </xf>
    <xf numFmtId="167" fontId="30" fillId="0" borderId="79" xfId="0" applyNumberFormat="1" applyFont="1" applyFill="1" applyBorder="1" applyAlignment="1">
      <alignment horizontal="center" vertical="center"/>
    </xf>
    <xf numFmtId="167" fontId="30" fillId="30" borderId="0" xfId="0" applyNumberFormat="1" applyFont="1" applyFill="1" applyBorder="1" applyAlignment="1">
      <alignment horizontal="center" vertical="center"/>
    </xf>
    <xf numFmtId="167" fontId="25" fillId="0" borderId="0" xfId="37" applyNumberFormat="1" applyFont="1" applyFill="1" applyBorder="1" applyAlignment="1">
      <alignment horizontal="center" vertical="center"/>
    </xf>
    <xf numFmtId="167" fontId="25" fillId="0" borderId="0" xfId="37" applyNumberFormat="1" applyFont="1" applyFill="1" applyAlignment="1">
      <alignment horizontal="center" vertical="center"/>
    </xf>
    <xf numFmtId="0" fontId="26" fillId="25" borderId="60" xfId="0" applyFont="1" applyFill="1" applyBorder="1" applyAlignment="1"/>
    <xf numFmtId="0" fontId="26" fillId="25" borderId="61" xfId="0" applyFont="1" applyFill="1" applyBorder="1" applyAlignment="1"/>
    <xf numFmtId="4" fontId="25" fillId="0" borderId="60" xfId="0" applyNumberFormat="1" applyFont="1" applyFill="1" applyBorder="1" applyAlignment="1">
      <alignment horizontal="center" vertical="center"/>
    </xf>
    <xf numFmtId="4" fontId="25" fillId="0" borderId="62" xfId="0" applyNumberFormat="1" applyFont="1" applyFill="1" applyBorder="1" applyAlignment="1">
      <alignment horizontal="center" vertical="center"/>
    </xf>
    <xf numFmtId="167" fontId="25" fillId="0" borderId="65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 vertical="center"/>
    </xf>
    <xf numFmtId="167" fontId="25" fillId="24" borderId="68" xfId="0" applyNumberFormat="1" applyFont="1" applyFill="1" applyBorder="1" applyAlignment="1">
      <alignment horizontal="center" vertical="center"/>
    </xf>
    <xf numFmtId="167" fontId="25" fillId="24" borderId="65" xfId="0" applyNumberFormat="1" applyFont="1" applyFill="1" applyBorder="1" applyAlignment="1">
      <alignment horizontal="center" vertical="center"/>
    </xf>
    <xf numFmtId="167" fontId="25" fillId="24" borderId="73" xfId="0" applyNumberFormat="1" applyFont="1" applyFill="1" applyBorder="1" applyAlignment="1">
      <alignment horizontal="center" vertical="center"/>
    </xf>
    <xf numFmtId="0" fontId="25" fillId="24" borderId="64" xfId="0" applyFont="1" applyFill="1" applyBorder="1" applyAlignment="1">
      <alignment horizontal="center" vertical="center" wrapText="1"/>
    </xf>
    <xf numFmtId="0" fontId="25" fillId="24" borderId="63" xfId="0" applyFont="1" applyFill="1" applyBorder="1" applyAlignment="1">
      <alignment horizontal="center" vertical="center" wrapText="1"/>
    </xf>
    <xf numFmtId="0" fontId="25" fillId="30" borderId="61" xfId="0" applyFont="1" applyFill="1" applyBorder="1" applyAlignment="1">
      <alignment horizontal="center" vertical="center" wrapText="1"/>
    </xf>
    <xf numFmtId="167" fontId="25" fillId="30" borderId="64" xfId="0" applyNumberFormat="1" applyFont="1" applyFill="1" applyBorder="1" applyAlignment="1">
      <alignment horizontal="center" vertical="center"/>
    </xf>
    <xf numFmtId="167" fontId="25" fillId="0" borderId="80" xfId="0" applyNumberFormat="1" applyFont="1" applyFill="1" applyBorder="1" applyAlignment="1">
      <alignment horizontal="center" vertical="center"/>
    </xf>
    <xf numFmtId="167" fontId="25" fillId="0" borderId="71" xfId="0" applyNumberFormat="1" applyFont="1" applyFill="1" applyBorder="1" applyAlignment="1">
      <alignment horizontal="center" vertical="center"/>
    </xf>
    <xf numFmtId="167" fontId="26" fillId="25" borderId="0" xfId="0" applyNumberFormat="1" applyFont="1" applyFill="1" applyBorder="1" applyAlignment="1">
      <alignment horizontal="center" vertical="center"/>
    </xf>
    <xf numFmtId="0" fontId="30" fillId="25" borderId="0" xfId="0" applyFont="1" applyFill="1" applyBorder="1" applyAlignment="1">
      <alignment horizontal="center" vertical="center"/>
    </xf>
    <xf numFmtId="167" fontId="30" fillId="25" borderId="0" xfId="0" applyNumberFormat="1" applyFont="1" applyFill="1" applyBorder="1" applyAlignment="1">
      <alignment horizontal="center" vertical="center"/>
    </xf>
    <xf numFmtId="167" fontId="25" fillId="25" borderId="0" xfId="0" applyNumberFormat="1" applyFont="1" applyFill="1" applyBorder="1" applyAlignment="1">
      <alignment horizontal="center" vertical="center"/>
    </xf>
    <xf numFmtId="167" fontId="25" fillId="0" borderId="73" xfId="0" applyNumberFormat="1" applyFont="1" applyFill="1" applyBorder="1" applyAlignment="1">
      <alignment horizontal="center" vertical="center"/>
    </xf>
    <xf numFmtId="167" fontId="32" fillId="0" borderId="0" xfId="0" applyNumberFormat="1" applyFont="1" applyFill="1" applyBorder="1" applyAlignment="1">
      <alignment horizontal="center" vertical="center"/>
    </xf>
    <xf numFmtId="167" fontId="39" fillId="0" borderId="0" xfId="0" applyNumberFormat="1" applyFont="1" applyFill="1" applyBorder="1" applyAlignment="1">
      <alignment horizontal="center" vertical="center"/>
    </xf>
    <xf numFmtId="0" fontId="25" fillId="25" borderId="0" xfId="0" applyFont="1" applyFill="1" applyAlignment="1">
      <alignment horizontal="center" vertical="center" wrapText="1"/>
    </xf>
    <xf numFmtId="167" fontId="25" fillId="0" borderId="72" xfId="0" applyNumberFormat="1" applyFont="1" applyFill="1" applyBorder="1" applyAlignment="1">
      <alignment horizontal="center"/>
    </xf>
    <xf numFmtId="167" fontId="25" fillId="0" borderId="0" xfId="0" applyNumberFormat="1" applyFont="1" applyFill="1"/>
    <xf numFmtId="0" fontId="30" fillId="0" borderId="0" xfId="0" applyFont="1" applyFill="1" applyAlignment="1">
      <alignment horizontal="center" vertical="center" wrapText="1"/>
    </xf>
    <xf numFmtId="4" fontId="30" fillId="24" borderId="11" xfId="0" applyNumberFormat="1" applyFont="1" applyFill="1" applyBorder="1" applyAlignment="1">
      <alignment horizontal="center" vertical="center"/>
    </xf>
    <xf numFmtId="4" fontId="30" fillId="0" borderId="0" xfId="0" applyNumberFormat="1" applyFont="1" applyFill="1" applyBorder="1" applyAlignment="1">
      <alignment horizontal="center" vertical="center"/>
    </xf>
    <xf numFmtId="4" fontId="30" fillId="0" borderId="11" xfId="0" applyNumberFormat="1" applyFont="1" applyFill="1" applyBorder="1" applyAlignment="1">
      <alignment horizontal="center" vertical="center"/>
    </xf>
    <xf numFmtId="4" fontId="25" fillId="0" borderId="67" xfId="0" applyNumberFormat="1" applyFont="1" applyFill="1" applyBorder="1" applyAlignment="1">
      <alignment horizontal="center" vertical="center"/>
    </xf>
    <xf numFmtId="167" fontId="25" fillId="0" borderId="0" xfId="38" applyNumberFormat="1" applyFont="1" applyFill="1" applyBorder="1" applyAlignment="1">
      <alignment horizontal="center" vertical="center"/>
    </xf>
    <xf numFmtId="4" fontId="30" fillId="0" borderId="0" xfId="0" applyNumberFormat="1" applyFont="1" applyFill="1" applyAlignment="1">
      <alignment horizontal="center" vertical="center"/>
    </xf>
    <xf numFmtId="0" fontId="25" fillId="0" borderId="66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167" fontId="25" fillId="0" borderId="64" xfId="37" applyNumberFormat="1" applyFont="1" applyFill="1" applyBorder="1" applyAlignment="1">
      <alignment horizontal="center" vertical="center"/>
    </xf>
    <xf numFmtId="167" fontId="25" fillId="0" borderId="68" xfId="37" applyNumberFormat="1" applyFont="1" applyFill="1" applyBorder="1" applyAlignment="1">
      <alignment horizontal="center" vertical="center"/>
    </xf>
    <xf numFmtId="4" fontId="25" fillId="0" borderId="68" xfId="0" applyNumberFormat="1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center" vertical="center" wrapText="1"/>
    </xf>
    <xf numFmtId="167" fontId="30" fillId="0" borderId="17" xfId="0" applyNumberFormat="1" applyFont="1" applyFill="1" applyBorder="1" applyAlignment="1">
      <alignment horizontal="center" vertical="center"/>
    </xf>
    <xf numFmtId="0" fontId="30" fillId="31" borderId="0" xfId="0" applyFont="1" applyFill="1" applyAlignment="1">
      <alignment horizontal="center" vertical="center"/>
    </xf>
    <xf numFmtId="0" fontId="25" fillId="31" borderId="0" xfId="0" applyFont="1" applyFill="1"/>
    <xf numFmtId="0" fontId="30" fillId="0" borderId="29" xfId="0" applyFont="1" applyFill="1" applyBorder="1" applyAlignment="1">
      <alignment horizontal="center" vertical="center"/>
    </xf>
    <xf numFmtId="0" fontId="30" fillId="0" borderId="48" xfId="0" applyFont="1" applyFill="1" applyBorder="1" applyAlignment="1">
      <alignment horizontal="center" vertical="center"/>
    </xf>
    <xf numFmtId="167" fontId="30" fillId="0" borderId="19" xfId="0" applyNumberFormat="1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44" fontId="30" fillId="0" borderId="0" xfId="0" applyNumberFormat="1" applyFont="1" applyFill="1" applyBorder="1" applyAlignment="1"/>
    <xf numFmtId="0" fontId="40" fillId="0" borderId="20" xfId="0" applyFont="1" applyFill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center" vertical="center" wrapText="1"/>
    </xf>
    <xf numFmtId="44" fontId="42" fillId="0" borderId="40" xfId="0" applyNumberFormat="1" applyFont="1" applyFill="1" applyBorder="1" applyAlignment="1">
      <alignment horizontal="center" vertical="center"/>
    </xf>
    <xf numFmtId="167" fontId="41" fillId="0" borderId="16" xfId="0" applyNumberFormat="1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vertical="center"/>
    </xf>
    <xf numFmtId="167" fontId="30" fillId="0" borderId="10" xfId="0" applyNumberFormat="1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vertical="center"/>
    </xf>
    <xf numFmtId="167" fontId="30" fillId="0" borderId="24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/>
    <xf numFmtId="167" fontId="30" fillId="0" borderId="0" xfId="0" applyNumberFormat="1" applyFont="1" applyFill="1" applyBorder="1" applyAlignment="1"/>
    <xf numFmtId="44" fontId="43" fillId="0" borderId="34" xfId="0" applyNumberFormat="1" applyFont="1" applyFill="1" applyBorder="1" applyAlignment="1">
      <alignment horizontal="center" vertical="center"/>
    </xf>
    <xf numFmtId="44" fontId="43" fillId="0" borderId="45" xfId="0" applyNumberFormat="1" applyFont="1" applyFill="1" applyBorder="1" applyAlignment="1">
      <alignment horizontal="center" vertical="center"/>
    </xf>
    <xf numFmtId="167" fontId="30" fillId="0" borderId="0" xfId="0" applyNumberFormat="1" applyFont="1"/>
    <xf numFmtId="167" fontId="42" fillId="0" borderId="34" xfId="0" applyNumberFormat="1" applyFont="1" applyFill="1" applyBorder="1" applyAlignment="1">
      <alignment horizontal="center" vertical="center"/>
    </xf>
    <xf numFmtId="167" fontId="30" fillId="0" borderId="39" xfId="0" applyNumberFormat="1" applyFont="1" applyFill="1" applyBorder="1" applyAlignment="1">
      <alignment horizontal="center" vertical="center"/>
    </xf>
    <xf numFmtId="167" fontId="30" fillId="0" borderId="38" xfId="0" applyNumberFormat="1" applyFont="1" applyFill="1" applyBorder="1" applyAlignment="1">
      <alignment horizontal="center" vertical="center"/>
    </xf>
    <xf numFmtId="0" fontId="30" fillId="0" borderId="33" xfId="0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horizontal="left"/>
    </xf>
    <xf numFmtId="0" fontId="25" fillId="0" borderId="0" xfId="0" applyFont="1" applyFill="1" applyAlignment="1">
      <alignment horizontal="left"/>
    </xf>
    <xf numFmtId="0" fontId="31" fillId="0" borderId="10" xfId="0" applyFont="1" applyFill="1" applyBorder="1" applyAlignment="1">
      <alignment horizontal="center" vertical="center" wrapText="1"/>
    </xf>
    <xf numFmtId="167" fontId="25" fillId="0" borderId="10" xfId="0" applyNumberFormat="1" applyFont="1" applyFill="1" applyBorder="1" applyAlignment="1"/>
    <xf numFmtId="167" fontId="25" fillId="0" borderId="42" xfId="0" applyNumberFormat="1" applyFont="1" applyFill="1" applyBorder="1"/>
    <xf numFmtId="167" fontId="25" fillId="30" borderId="42" xfId="0" applyNumberFormat="1" applyFont="1" applyFill="1" applyBorder="1" applyAlignment="1"/>
    <xf numFmtId="0" fontId="31" fillId="0" borderId="44" xfId="0" applyFont="1" applyFill="1" applyBorder="1" applyAlignment="1">
      <alignment horizontal="center" vertical="center" wrapText="1"/>
    </xf>
    <xf numFmtId="167" fontId="25" fillId="30" borderId="56" xfId="0" applyNumberFormat="1" applyFont="1" applyFill="1" applyBorder="1" applyAlignment="1"/>
    <xf numFmtId="165" fontId="30" fillId="0" borderId="0" xfId="38" applyFont="1" applyFill="1" applyBorder="1" applyAlignment="1"/>
    <xf numFmtId="0" fontId="30" fillId="27" borderId="0" xfId="0" applyFont="1" applyFill="1" applyBorder="1" applyAlignment="1"/>
    <xf numFmtId="0" fontId="25" fillId="27" borderId="0" xfId="0" applyFont="1" applyFill="1"/>
    <xf numFmtId="0" fontId="25" fillId="28" borderId="0" xfId="0" applyFont="1" applyFill="1" applyBorder="1" applyAlignment="1">
      <alignment horizontal="center" vertical="center"/>
    </xf>
    <xf numFmtId="0" fontId="30" fillId="27" borderId="50" xfId="0" applyFont="1" applyFill="1" applyBorder="1" applyAlignment="1">
      <alignment horizontal="center" wrapText="1"/>
    </xf>
    <xf numFmtId="167" fontId="30" fillId="28" borderId="42" xfId="0" applyNumberFormat="1" applyFont="1" applyFill="1" applyBorder="1" applyAlignment="1">
      <alignment horizontal="center"/>
    </xf>
    <xf numFmtId="0" fontId="30" fillId="28" borderId="53" xfId="0" applyFont="1" applyFill="1" applyBorder="1" applyAlignment="1">
      <alignment horizontal="center"/>
    </xf>
    <xf numFmtId="167" fontId="30" fillId="27" borderId="42" xfId="0" applyNumberFormat="1" applyFont="1" applyFill="1" applyBorder="1" applyAlignment="1">
      <alignment horizontal="center"/>
    </xf>
    <xf numFmtId="167" fontId="30" fillId="28" borderId="52" xfId="0" applyNumberFormat="1" applyFont="1" applyFill="1" applyBorder="1" applyAlignment="1"/>
    <xf numFmtId="167" fontId="30" fillId="28" borderId="42" xfId="0" applyNumberFormat="1" applyFont="1" applyFill="1" applyBorder="1" applyAlignment="1"/>
    <xf numFmtId="167" fontId="30" fillId="27" borderId="52" xfId="0" applyNumberFormat="1" applyFont="1" applyFill="1" applyBorder="1" applyAlignment="1"/>
    <xf numFmtId="167" fontId="30" fillId="28" borderId="54" xfId="0" applyNumberFormat="1" applyFont="1" applyFill="1" applyBorder="1" applyAlignment="1"/>
    <xf numFmtId="167" fontId="30" fillId="28" borderId="46" xfId="0" applyNumberFormat="1" applyFont="1" applyFill="1" applyBorder="1" applyAlignment="1"/>
    <xf numFmtId="167" fontId="30" fillId="27" borderId="54" xfId="0" applyNumberFormat="1" applyFont="1" applyFill="1" applyBorder="1" applyAlignment="1"/>
    <xf numFmtId="167" fontId="30" fillId="28" borderId="50" xfId="0" applyNumberFormat="1" applyFont="1" applyFill="1" applyBorder="1" applyAlignment="1"/>
    <xf numFmtId="167" fontId="30" fillId="28" borderId="10" xfId="0" applyNumberFormat="1" applyFont="1" applyFill="1" applyBorder="1" applyAlignment="1"/>
    <xf numFmtId="167" fontId="30" fillId="27" borderId="50" xfId="0" applyNumberFormat="1" applyFont="1" applyFill="1" applyBorder="1" applyAlignment="1"/>
    <xf numFmtId="0" fontId="25" fillId="28" borderId="0" xfId="0" applyFont="1" applyFill="1"/>
    <xf numFmtId="167" fontId="25" fillId="0" borderId="10" xfId="0" applyNumberFormat="1" applyFont="1" applyFill="1" applyBorder="1"/>
    <xf numFmtId="167" fontId="44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167" fontId="25" fillId="0" borderId="70" xfId="0" applyNumberFormat="1" applyFont="1" applyFill="1" applyBorder="1" applyAlignment="1">
      <alignment horizontal="center" vertical="center"/>
    </xf>
    <xf numFmtId="167" fontId="25" fillId="0" borderId="81" xfId="0" applyNumberFormat="1" applyFont="1" applyFill="1" applyBorder="1" applyAlignment="1">
      <alignment horizontal="center" vertical="center"/>
    </xf>
    <xf numFmtId="167" fontId="25" fillId="0" borderId="83" xfId="0" applyNumberFormat="1" applyFont="1" applyFill="1" applyBorder="1" applyAlignment="1">
      <alignment horizontal="center" vertical="center"/>
    </xf>
    <xf numFmtId="167" fontId="25" fillId="0" borderId="84" xfId="0" applyNumberFormat="1" applyFont="1" applyFill="1" applyBorder="1" applyAlignment="1">
      <alignment horizontal="center" vertical="center"/>
    </xf>
    <xf numFmtId="167" fontId="25" fillId="0" borderId="85" xfId="0" applyNumberFormat="1" applyFont="1" applyFill="1" applyBorder="1" applyAlignment="1">
      <alignment horizontal="center" vertical="center"/>
    </xf>
    <xf numFmtId="44" fontId="25" fillId="33" borderId="0" xfId="0" applyNumberFormat="1" applyFont="1" applyFill="1" applyBorder="1" applyAlignment="1"/>
    <xf numFmtId="0" fontId="25" fillId="33" borderId="0" xfId="0" applyFont="1" applyFill="1"/>
    <xf numFmtId="44" fontId="25" fillId="34" borderId="0" xfId="0" applyNumberFormat="1" applyFont="1" applyFill="1" applyBorder="1" applyAlignment="1"/>
    <xf numFmtId="0" fontId="25" fillId="34" borderId="0" xfId="0" applyFont="1" applyFill="1"/>
    <xf numFmtId="0" fontId="30" fillId="0" borderId="0" xfId="0" applyFont="1" applyFill="1"/>
    <xf numFmtId="167" fontId="24" fillId="32" borderId="32" xfId="47" applyNumberFormat="1" applyBorder="1" applyAlignment="1">
      <alignment horizontal="center" vertical="center"/>
    </xf>
    <xf numFmtId="167" fontId="39" fillId="0" borderId="85" xfId="0" applyNumberFormat="1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 wrapText="1"/>
    </xf>
    <xf numFmtId="44" fontId="25" fillId="35" borderId="0" xfId="48" applyNumberFormat="1" applyFont="1" applyBorder="1" applyAlignment="1"/>
    <xf numFmtId="0" fontId="1" fillId="36" borderId="75" xfId="49" applyBorder="1" applyAlignment="1">
      <alignment horizontal="center" vertical="center" wrapText="1"/>
    </xf>
    <xf numFmtId="167" fontId="1" fillId="36" borderId="0" xfId="49" applyNumberFormat="1" applyBorder="1" applyAlignment="1">
      <alignment horizontal="center" vertical="center"/>
    </xf>
    <xf numFmtId="167" fontId="1" fillId="36" borderId="75" xfId="49" applyNumberFormat="1" applyBorder="1" applyAlignment="1">
      <alignment horizontal="center" vertical="center"/>
    </xf>
    <xf numFmtId="167" fontId="1" fillId="36" borderId="73" xfId="49" applyNumberFormat="1" applyBorder="1" applyAlignment="1">
      <alignment horizontal="center" vertical="center"/>
    </xf>
    <xf numFmtId="0" fontId="25" fillId="0" borderId="75" xfId="0" applyFont="1" applyFill="1" applyBorder="1" applyAlignment="1">
      <alignment horizontal="center" vertical="center"/>
    </xf>
    <xf numFmtId="167" fontId="30" fillId="0" borderId="85" xfId="0" applyNumberFormat="1" applyFont="1" applyFill="1" applyBorder="1" applyAlignment="1">
      <alignment horizontal="center" vertical="center"/>
    </xf>
    <xf numFmtId="0" fontId="30" fillId="0" borderId="72" xfId="0" applyFont="1" applyFill="1" applyBorder="1" applyAlignment="1">
      <alignment horizontal="right" vertical="center"/>
    </xf>
    <xf numFmtId="167" fontId="30" fillId="0" borderId="72" xfId="0" applyNumberFormat="1" applyFont="1" applyFill="1" applyBorder="1" applyAlignment="1">
      <alignment horizontal="center" vertical="center"/>
    </xf>
    <xf numFmtId="167" fontId="25" fillId="0" borderId="0" xfId="0" applyNumberFormat="1" applyFont="1" applyAlignment="1">
      <alignment horizontal="center" vertical="center"/>
    </xf>
    <xf numFmtId="2" fontId="27" fillId="0" borderId="0" xfId="0" applyNumberFormat="1" applyFont="1" applyFill="1" applyBorder="1" applyAlignment="1">
      <alignment horizontal="left" vertical="center" wrapText="1"/>
    </xf>
    <xf numFmtId="167" fontId="25" fillId="0" borderId="68" xfId="0" applyNumberFormat="1" applyFont="1" applyBorder="1" applyAlignment="1">
      <alignment horizontal="center" vertical="center"/>
    </xf>
    <xf numFmtId="0" fontId="22" fillId="0" borderId="0" xfId="0" applyFont="1"/>
    <xf numFmtId="167" fontId="27" fillId="0" borderId="85" xfId="0" applyNumberFormat="1" applyFont="1" applyFill="1" applyBorder="1" applyAlignment="1">
      <alignment horizontal="center" vertical="center"/>
    </xf>
    <xf numFmtId="167" fontId="25" fillId="0" borderId="82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 wrapText="1"/>
    </xf>
    <xf numFmtId="167" fontId="30" fillId="38" borderId="0" xfId="0" applyNumberFormat="1" applyFont="1" applyFill="1"/>
    <xf numFmtId="167" fontId="25" fillId="30" borderId="86" xfId="0" applyNumberFormat="1" applyFont="1" applyFill="1" applyBorder="1" applyAlignment="1"/>
    <xf numFmtId="0" fontId="27" fillId="0" borderId="69" xfId="0" applyFont="1" applyFill="1" applyBorder="1" applyAlignment="1">
      <alignment horizontal="left" wrapText="1"/>
    </xf>
    <xf numFmtId="167" fontId="30" fillId="33" borderId="0" xfId="0" applyNumberFormat="1" applyFont="1" applyFill="1"/>
    <xf numFmtId="167" fontId="30" fillId="34" borderId="0" xfId="0" applyNumberFormat="1" applyFont="1" applyFill="1"/>
    <xf numFmtId="167" fontId="25" fillId="30" borderId="71" xfId="0" applyNumberFormat="1" applyFont="1" applyFill="1" applyBorder="1" applyAlignment="1">
      <alignment horizontal="center" vertical="center"/>
    </xf>
    <xf numFmtId="167" fontId="25" fillId="30" borderId="70" xfId="0" applyNumberFormat="1" applyFont="1" applyFill="1" applyBorder="1" applyAlignment="1">
      <alignment horizontal="center" vertical="center"/>
    </xf>
    <xf numFmtId="44" fontId="25" fillId="38" borderId="0" xfId="48" applyNumberFormat="1" applyFont="1" applyFill="1" applyBorder="1" applyAlignment="1"/>
    <xf numFmtId="167" fontId="25" fillId="39" borderId="0" xfId="0" applyNumberFormat="1" applyFont="1" applyFill="1" applyBorder="1" applyAlignment="1">
      <alignment horizontal="center" vertical="center"/>
    </xf>
    <xf numFmtId="0" fontId="27" fillId="39" borderId="0" xfId="0" applyFont="1" applyFill="1" applyAlignment="1">
      <alignment horizontal="left" vertical="center" wrapText="1"/>
    </xf>
    <xf numFmtId="0" fontId="25" fillId="39" borderId="0" xfId="0" applyFont="1" applyFill="1" applyAlignment="1">
      <alignment horizontal="center" vertical="center" wrapText="1"/>
    </xf>
    <xf numFmtId="167" fontId="25" fillId="0" borderId="60" xfId="0" applyNumberFormat="1" applyFont="1" applyFill="1" applyBorder="1" applyAlignment="1">
      <alignment horizontal="center" vertical="center"/>
    </xf>
    <xf numFmtId="167" fontId="25" fillId="0" borderId="74" xfId="0" applyNumberFormat="1" applyFont="1" applyFill="1" applyBorder="1" applyAlignment="1">
      <alignment horizontal="center" vertical="center"/>
    </xf>
    <xf numFmtId="167" fontId="25" fillId="0" borderId="0" xfId="0" applyNumberFormat="1" applyFont="1" applyBorder="1" applyAlignment="1">
      <alignment horizontal="center" vertical="center"/>
    </xf>
    <xf numFmtId="4" fontId="25" fillId="0" borderId="60" xfId="0" applyNumberFormat="1" applyFont="1" applyFill="1" applyBorder="1" applyAlignment="1">
      <alignment vertical="center" wrapText="1"/>
    </xf>
    <xf numFmtId="0" fontId="34" fillId="39" borderId="0" xfId="0" applyFont="1" applyFill="1" applyBorder="1" applyAlignment="1">
      <alignment horizontal="left" vertical="center" wrapText="1"/>
    </xf>
    <xf numFmtId="0" fontId="25" fillId="39" borderId="73" xfId="0" applyFont="1" applyFill="1" applyBorder="1" applyAlignment="1">
      <alignment horizontal="center" vertical="center" wrapText="1"/>
    </xf>
    <xf numFmtId="167" fontId="46" fillId="0" borderId="50" xfId="47" applyNumberFormat="1" applyFont="1" applyFill="1" applyBorder="1"/>
    <xf numFmtId="0" fontId="25" fillId="0" borderId="0" xfId="0" applyFont="1" applyAlignment="1">
      <alignment horizontal="center" vertical="center" wrapText="1"/>
    </xf>
    <xf numFmtId="2" fontId="27" fillId="37" borderId="59" xfId="0" applyNumberFormat="1" applyFont="1" applyFill="1" applyBorder="1" applyAlignment="1">
      <alignment horizontal="left" vertical="center" wrapText="1"/>
    </xf>
    <xf numFmtId="0" fontId="25" fillId="37" borderId="62" xfId="0" applyFont="1" applyFill="1" applyBorder="1" applyAlignment="1">
      <alignment horizontal="center" vertical="center" wrapText="1"/>
    </xf>
    <xf numFmtId="167" fontId="25" fillId="37" borderId="62" xfId="0" applyNumberFormat="1" applyFont="1" applyFill="1" applyBorder="1" applyAlignment="1">
      <alignment horizontal="center" vertical="center"/>
    </xf>
    <xf numFmtId="167" fontId="25" fillId="37" borderId="59" xfId="0" applyNumberFormat="1" applyFont="1" applyFill="1" applyBorder="1" applyAlignment="1">
      <alignment horizontal="center" vertical="center"/>
    </xf>
    <xf numFmtId="167" fontId="25" fillId="37" borderId="74" xfId="0" applyNumberFormat="1" applyFont="1" applyFill="1" applyBorder="1" applyAlignment="1">
      <alignment horizontal="center" vertical="center"/>
    </xf>
    <xf numFmtId="167" fontId="25" fillId="37" borderId="60" xfId="0" applyNumberFormat="1" applyFont="1" applyFill="1" applyBorder="1" applyAlignment="1">
      <alignment horizontal="center" vertical="center"/>
    </xf>
    <xf numFmtId="0" fontId="33" fillId="25" borderId="0" xfId="0" applyFont="1" applyFill="1" applyBorder="1" applyAlignment="1">
      <alignment horizontal="left" vertical="center"/>
    </xf>
    <xf numFmtId="0" fontId="33" fillId="25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/>
    </xf>
    <xf numFmtId="0" fontId="25" fillId="30" borderId="60" xfId="0" applyFont="1" applyFill="1" applyBorder="1" applyAlignment="1">
      <alignment horizontal="center" vertical="center" wrapText="1"/>
    </xf>
    <xf numFmtId="0" fontId="25" fillId="24" borderId="72" xfId="0" applyFont="1" applyFill="1" applyBorder="1" applyAlignment="1">
      <alignment horizontal="center" vertical="center"/>
    </xf>
    <xf numFmtId="0" fontId="22" fillId="40" borderId="0" xfId="0" applyFont="1" applyFill="1"/>
    <xf numFmtId="165" fontId="30" fillId="0" borderId="0" xfId="38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167" fontId="30" fillId="0" borderId="71" xfId="0" applyNumberFormat="1" applyFont="1" applyFill="1" applyBorder="1" applyAlignment="1">
      <alignment horizontal="center" vertical="center"/>
    </xf>
    <xf numFmtId="167" fontId="30" fillId="0" borderId="0" xfId="0" applyNumberFormat="1" applyFont="1" applyFill="1" applyBorder="1" applyAlignment="1">
      <alignment vertical="center"/>
    </xf>
    <xf numFmtId="167" fontId="30" fillId="0" borderId="0" xfId="0" applyNumberFormat="1" applyFont="1" applyFill="1" applyAlignment="1">
      <alignment vertical="center"/>
    </xf>
    <xf numFmtId="167" fontId="30" fillId="0" borderId="61" xfId="0" applyNumberFormat="1" applyFont="1" applyFill="1" applyBorder="1" applyAlignment="1">
      <alignment horizontal="center" vertical="center"/>
    </xf>
    <xf numFmtId="167" fontId="30" fillId="0" borderId="81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44" fontId="30" fillId="0" borderId="0" xfId="48" applyNumberFormat="1" applyFont="1" applyFill="1" applyBorder="1" applyAlignment="1"/>
    <xf numFmtId="0" fontId="30" fillId="0" borderId="0" xfId="0" applyFont="1" applyFill="1" applyAlignment="1">
      <alignment horizontal="left"/>
    </xf>
    <xf numFmtId="167" fontId="30" fillId="0" borderId="10" xfId="0" applyNumberFormat="1" applyFont="1" applyFill="1" applyBorder="1" applyAlignment="1"/>
    <xf numFmtId="167" fontId="30" fillId="0" borderId="42" xfId="0" applyNumberFormat="1" applyFont="1" applyFill="1" applyBorder="1"/>
    <xf numFmtId="167" fontId="30" fillId="0" borderId="42" xfId="0" applyNumberFormat="1" applyFont="1" applyFill="1" applyBorder="1" applyAlignment="1"/>
    <xf numFmtId="167" fontId="30" fillId="0" borderId="56" xfId="0" applyNumberFormat="1" applyFont="1" applyFill="1" applyBorder="1" applyAlignment="1"/>
    <xf numFmtId="0" fontId="30" fillId="0" borderId="0" xfId="0" applyFont="1" applyFill="1" applyBorder="1" applyAlignment="1"/>
    <xf numFmtId="0" fontId="30" fillId="0" borderId="51" xfId="0" applyFont="1" applyFill="1" applyBorder="1" applyAlignment="1">
      <alignment horizontal="center" wrapText="1"/>
    </xf>
    <xf numFmtId="0" fontId="30" fillId="0" borderId="53" xfId="0" applyFont="1" applyFill="1" applyBorder="1" applyAlignment="1">
      <alignment horizontal="center"/>
    </xf>
    <xf numFmtId="167" fontId="30" fillId="0" borderId="46" xfId="0" applyNumberFormat="1" applyFont="1" applyFill="1" applyBorder="1" applyAlignment="1"/>
    <xf numFmtId="167" fontId="30" fillId="0" borderId="10" xfId="0" applyNumberFormat="1" applyFont="1" applyFill="1" applyBorder="1"/>
    <xf numFmtId="167" fontId="30" fillId="30" borderId="59" xfId="0" applyNumberFormat="1" applyFont="1" applyFill="1" applyBorder="1" applyAlignment="1">
      <alignment horizontal="center" vertical="center"/>
    </xf>
    <xf numFmtId="167" fontId="30" fillId="0" borderId="78" xfId="0" applyNumberFormat="1" applyFont="1" applyFill="1" applyBorder="1" applyAlignment="1">
      <alignment horizontal="center" vertical="center"/>
    </xf>
    <xf numFmtId="167" fontId="25" fillId="30" borderId="78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167" fontId="25" fillId="30" borderId="0" xfId="38" applyNumberFormat="1" applyFont="1" applyFill="1" applyBorder="1" applyAlignment="1">
      <alignment horizontal="center" vertical="center"/>
    </xf>
    <xf numFmtId="167" fontId="25" fillId="24" borderId="71" xfId="0" applyNumberFormat="1" applyFont="1" applyFill="1" applyBorder="1" applyAlignment="1">
      <alignment horizontal="center" vertical="center"/>
    </xf>
    <xf numFmtId="167" fontId="27" fillId="0" borderId="81" xfId="0" applyNumberFormat="1" applyFont="1" applyFill="1" applyBorder="1" applyAlignment="1">
      <alignment horizontal="center" vertical="center"/>
    </xf>
    <xf numFmtId="167" fontId="47" fillId="32" borderId="18" xfId="47" applyNumberFormat="1" applyFont="1" applyBorder="1" applyAlignment="1">
      <alignment horizontal="center" vertical="center"/>
    </xf>
    <xf numFmtId="0" fontId="31" fillId="0" borderId="72" xfId="0" applyFont="1" applyFill="1" applyBorder="1" applyAlignment="1">
      <alignment vertical="center"/>
    </xf>
    <xf numFmtId="0" fontId="31" fillId="0" borderId="61" xfId="0" applyFont="1" applyFill="1" applyBorder="1" applyAlignment="1">
      <alignment vertical="center"/>
    </xf>
    <xf numFmtId="167" fontId="30" fillId="0" borderId="76" xfId="0" applyNumberFormat="1" applyFont="1" applyFill="1" applyBorder="1" applyAlignment="1">
      <alignment horizontal="center" vertical="center"/>
    </xf>
    <xf numFmtId="167" fontId="30" fillId="0" borderId="81" xfId="0" applyNumberFormat="1" applyFont="1" applyFill="1" applyBorder="1" applyAlignment="1">
      <alignment vertical="center"/>
    </xf>
    <xf numFmtId="167" fontId="26" fillId="0" borderId="0" xfId="0" applyNumberFormat="1" applyFont="1" applyFill="1" applyBorder="1" applyAlignment="1">
      <alignment horizontal="center" vertical="center"/>
    </xf>
    <xf numFmtId="167" fontId="30" fillId="39" borderId="0" xfId="0" applyNumberFormat="1" applyFont="1" applyFill="1" applyBorder="1" applyAlignment="1">
      <alignment horizontal="center" vertical="center"/>
    </xf>
    <xf numFmtId="167" fontId="25" fillId="39" borderId="73" xfId="0" applyNumberFormat="1" applyFont="1" applyFill="1" applyBorder="1" applyAlignment="1">
      <alignment horizontal="center" vertical="center"/>
    </xf>
    <xf numFmtId="0" fontId="27" fillId="39" borderId="0" xfId="0" applyFont="1" applyFill="1" applyBorder="1" applyAlignment="1">
      <alignment horizontal="left" vertical="center" wrapText="1"/>
    </xf>
    <xf numFmtId="0" fontId="25" fillId="39" borderId="0" xfId="0" applyFont="1" applyFill="1" applyBorder="1" applyAlignment="1">
      <alignment horizontal="center" vertical="center" wrapText="1"/>
    </xf>
    <xf numFmtId="167" fontId="27" fillId="39" borderId="0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 wrapText="1"/>
    </xf>
    <xf numFmtId="167" fontId="47" fillId="32" borderId="32" xfId="47" applyNumberFormat="1" applyFont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wrapText="1"/>
    </xf>
    <xf numFmtId="165" fontId="30" fillId="28" borderId="50" xfId="38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 vertical="center"/>
    </xf>
    <xf numFmtId="167" fontId="25" fillId="0" borderId="10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30" fillId="0" borderId="57" xfId="0" applyFont="1" applyFill="1" applyBorder="1" applyAlignment="1">
      <alignment horizontal="center" vertical="center"/>
    </xf>
    <xf numFmtId="0" fontId="30" fillId="0" borderId="52" xfId="0" applyFont="1" applyFill="1" applyBorder="1" applyAlignment="1">
      <alignment horizontal="center" vertical="center"/>
    </xf>
    <xf numFmtId="0" fontId="30" fillId="0" borderId="53" xfId="0" applyFont="1" applyFill="1" applyBorder="1" applyAlignment="1">
      <alignment horizontal="center" vertical="center"/>
    </xf>
    <xf numFmtId="0" fontId="30" fillId="0" borderId="55" xfId="0" applyFont="1" applyFill="1" applyBorder="1" applyAlignment="1">
      <alignment horizontal="center" vertical="center"/>
    </xf>
    <xf numFmtId="0" fontId="30" fillId="0" borderId="58" xfId="0" applyFont="1" applyFill="1" applyBorder="1" applyAlignment="1">
      <alignment horizontal="center" vertical="center"/>
    </xf>
    <xf numFmtId="0" fontId="30" fillId="0" borderId="42" xfId="0" applyFont="1" applyFill="1" applyBorder="1" applyAlignment="1">
      <alignment horizontal="center" vertical="center"/>
    </xf>
    <xf numFmtId="0" fontId="30" fillId="0" borderId="47" xfId="0" applyFont="1" applyFill="1" applyBorder="1" applyAlignment="1">
      <alignment horizontal="center" vertical="center"/>
    </xf>
    <xf numFmtId="0" fontId="30" fillId="28" borderId="50" xfId="0" applyFont="1" applyFill="1" applyBorder="1" applyAlignment="1">
      <alignment horizontal="center" wrapText="1"/>
    </xf>
    <xf numFmtId="0" fontId="30" fillId="28" borderId="51" xfId="0" applyFont="1" applyFill="1" applyBorder="1" applyAlignment="1">
      <alignment horizontal="center" wrapText="1"/>
    </xf>
    <xf numFmtId="0" fontId="31" fillId="0" borderId="25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67" fontId="30" fillId="0" borderId="30" xfId="0" applyNumberFormat="1" applyFont="1" applyFill="1" applyBorder="1" applyAlignment="1">
      <alignment horizontal="center" vertical="center"/>
    </xf>
    <xf numFmtId="167" fontId="30" fillId="0" borderId="31" xfId="0" applyNumberFormat="1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44" fontId="43" fillId="0" borderId="34" xfId="0" applyNumberFormat="1" applyFont="1" applyFill="1" applyBorder="1" applyAlignment="1">
      <alignment horizontal="center" vertical="center"/>
    </xf>
    <xf numFmtId="44" fontId="43" fillId="0" borderId="35" xfId="0" applyNumberFormat="1" applyFont="1" applyFill="1" applyBorder="1" applyAlignment="1">
      <alignment horizontal="center" vertical="center"/>
    </xf>
    <xf numFmtId="167" fontId="43" fillId="0" borderId="36" xfId="0" applyNumberFormat="1" applyFont="1" applyFill="1" applyBorder="1" applyAlignment="1">
      <alignment horizontal="center" vertical="center"/>
    </xf>
    <xf numFmtId="167" fontId="43" fillId="0" borderId="37" xfId="0" applyNumberFormat="1" applyFont="1" applyFill="1" applyBorder="1" applyAlignment="1">
      <alignment horizontal="center" vertical="center"/>
    </xf>
    <xf numFmtId="165" fontId="30" fillId="28" borderId="0" xfId="38" applyFont="1" applyFill="1" applyBorder="1" applyAlignment="1">
      <alignment horizontal="center"/>
    </xf>
  </cellXfs>
  <cellStyles count="5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3" xfId="49" builtinId="38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ueno" xfId="47" builtinId="26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correcto" xfId="48" builtinId="27"/>
    <cellStyle name="Input" xfId="35"/>
    <cellStyle name="Linked Cell" xfId="36"/>
    <cellStyle name="Millares" xfId="37" builtinId="3"/>
    <cellStyle name="Moneda" xfId="38" builtinId="4"/>
    <cellStyle name="Neutral" xfId="39" builtinId="28" customBuiltin="1"/>
    <cellStyle name="Normal" xfId="0" builtinId="0"/>
    <cellStyle name="Normal 2" xfId="46"/>
    <cellStyle name="Normal 3" xfId="40"/>
    <cellStyle name="Note" xfId="41"/>
    <cellStyle name="Output" xfId="42"/>
    <cellStyle name="Title" xfId="43"/>
    <cellStyle name="Total" xfId="44" builtinId="25" customBuiltin="1"/>
    <cellStyle name="Warning Text" xfId="45"/>
  </cellStyles>
  <dxfs count="54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mruColors>
      <color rgb="FF996600"/>
      <color rgb="FFFFFFFF"/>
      <color rgb="FFFFFFCC"/>
      <color rgb="FFFF7C8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YO%202024\1ER%20%20%20%20%20QUINCENA%20MAYO%20%202024%20%20FIRMA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NOV%202022\1ER%20%20%20QUINCENA%20NOV%20%20%202022,%20FIRMA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NOMINA%20SEP\1ER%20%20QUINCENA%20SEPTIEMBRE%20%20%20%202022,%20FIRMA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ownloads\1RA%20QUINCENA%20MAR%20%202022%20FIRMA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NOMINA%20DE%20SEPTIEMBRE%202023\2DA%20%20QUINCENA%20SEPTIEMBRE%20%202023%20FIRMA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FEB%2023\2DA%20%20%20QUINCENA%20FEB%20%20%202023,%20FIRMA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ownloads\2DA%20QUINCENA%20ENERO%20%20%202022%20FIRMAS%20ok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RZO%2024\1ER%20%20QUINCENA%20MARZO%202024%20%20FIRMAS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RA%20QUINCENA%20NOVIEMBRE%20%202021%20FIRMAS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FEBRERO%202022\2DA%20QUINCENA%20FEB%20%20%202022%20FIRMAS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%20MAR\2DA%20%20QUINCENA%20MAR%20%202022%20FIRMA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ER%20QUINCENA%20OCT21\1RA%20QUINCENA%20DE%20OCTUBRE%202021,%20FIRMAS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ABRIL%202024\2DA.%20%20%20%20QUINCENA%20ABRIL%20%202024%20%20FIRMAS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OCTUBRE%202022\1ER%20%20%20QUINCENA%20OCTUBRE%20%20%202022,%20FIRMAS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FEBRERO%202024\1ER%20%20%20QUINCENA%20FEBRERO%202024%20%20FIRMAS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ABRIL%202023\2DA%20QUINCENA%20ABRIL%202023,%20FIRMAS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OCTUBRE%202023\1ER%20%20%20QUINCENA%20OCTUBRE%20%202023%20FIRMAS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MAYO%2023\2DA%20%20QUINCENA%20MAYO%202023,%20FIRMAS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MARZO%2023\1ER%20%20%20%20QUINCENA%20MAR%20%20%20%202023,%20FIRMAS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OCTUBRE%202022\2DA%20%20%20QUINCENA%20OCTUBRE%20%20%202022,%20FIRMAS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QUINCENA%20NOVIEMBRE%202023\2DA%20%20%20QUINCENA%20NOVIEMBRE%20%202023%20FIRMAS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NOVIEMBRE%202023\1ER%20%20QUINCENA%20NOVIEMBRE%20%202023%20FIRMA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ABRIL%202024\1ER%20%20%20%20QUINCENA%20ABRIL%20%202024%20%20FIRMA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ENERO%2024\2DA%20%20QUINCENA%20ENERO%202024%20%20FIRMA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ENERO%2024\1ER%20%20QUINCENA%20ENERO%202024%20%20FIRMA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QUINCENA%20DE%20JULIO%2023\2DA%20QUINCENA%20%20%20JUNIO%20%202023,%20FIRMAS%20AUTOMATICO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ENERO%202023\1ER%20%20%20QUINCENA%20DICIEMBRE%20%20%202022,%20FIRMA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NOMINAS%20OCT-DIC%202021\2DA%20QUIN%20DIC%202021\2DA%20QUINCENA%20DICIEMBRE%20%20%202021%20FIRMAS%20ok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QUINCENA%20ABRIL%20%20%202022%20FIRMA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14">
          <cell r="H14">
            <v>99449.116200000019</v>
          </cell>
          <cell r="I14">
            <v>4006.3086000000003</v>
          </cell>
          <cell r="M14">
            <v>95442.8076</v>
          </cell>
        </row>
        <row r="274">
          <cell r="H274">
            <v>59156.147349999992</v>
          </cell>
        </row>
        <row r="334">
          <cell r="H334">
            <v>13206.538800000002</v>
          </cell>
          <cell r="J334">
            <v>90</v>
          </cell>
          <cell r="M334">
            <v>13086.711000000003</v>
          </cell>
        </row>
      </sheetData>
      <sheetData sheetId="2"/>
      <sheetData sheetId="3">
        <row r="37">
          <cell r="H37">
            <v>137454.65767499997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87">
          <cell r="H87">
            <v>3.9999999999054126E-3</v>
          </cell>
          <cell r="I87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33">
          <cell r="H33">
            <v>25973.87</v>
          </cell>
        </row>
        <row r="89">
          <cell r="J89">
            <v>0</v>
          </cell>
        </row>
        <row r="110">
          <cell r="J110">
            <v>360</v>
          </cell>
        </row>
        <row r="220">
          <cell r="J220">
            <v>0</v>
          </cell>
        </row>
        <row r="249">
          <cell r="J249">
            <v>232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32">
          <cell r="L32">
            <v>800</v>
          </cell>
        </row>
        <row r="97">
          <cell r="J97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113">
          <cell r="I113">
            <v>0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24">
          <cell r="H24">
            <v>38502.786</v>
          </cell>
        </row>
        <row r="129">
          <cell r="J129">
            <v>424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15">
          <cell r="L15">
            <v>0</v>
          </cell>
        </row>
        <row r="141">
          <cell r="J141">
            <v>360</v>
          </cell>
        </row>
        <row r="154">
          <cell r="J154">
            <v>230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86">
          <cell r="H86">
            <v>3360</v>
          </cell>
        </row>
        <row r="142">
          <cell r="H142">
            <v>38303.496000000006</v>
          </cell>
          <cell r="I142">
            <v>2091.3984000000005</v>
          </cell>
        </row>
        <row r="150">
          <cell r="H150">
            <v>6855.84</v>
          </cell>
          <cell r="I150">
            <v>0</v>
          </cell>
        </row>
        <row r="205">
          <cell r="H205">
            <v>3900</v>
          </cell>
          <cell r="I205">
            <v>0</v>
          </cell>
          <cell r="M205">
            <v>3900</v>
          </cell>
        </row>
        <row r="421">
          <cell r="H421">
            <v>42988.511474999999</v>
          </cell>
          <cell r="J421">
            <v>669</v>
          </cell>
        </row>
        <row r="489">
          <cell r="H489">
            <v>200692.67242500006</v>
          </cell>
          <cell r="J489">
            <v>3344</v>
          </cell>
        </row>
        <row r="500">
          <cell r="H500">
            <v>25119.282375000003</v>
          </cell>
          <cell r="J500">
            <v>820</v>
          </cell>
          <cell r="K500">
            <v>126</v>
          </cell>
        </row>
      </sheetData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23">
          <cell r="H23">
            <v>28604</v>
          </cell>
        </row>
        <row r="163">
          <cell r="J163">
            <v>90</v>
          </cell>
        </row>
        <row r="203">
          <cell r="K203">
            <v>126</v>
          </cell>
        </row>
        <row r="262">
          <cell r="J262">
            <v>180</v>
          </cell>
        </row>
        <row r="320">
          <cell r="H320">
            <v>0</v>
          </cell>
          <cell r="J320">
            <v>0</v>
          </cell>
          <cell r="M32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90">
          <cell r="J90">
            <v>90</v>
          </cell>
        </row>
        <row r="177">
          <cell r="J177">
            <v>0</v>
          </cell>
        </row>
        <row r="266">
          <cell r="J266">
            <v>0</v>
          </cell>
          <cell r="K266">
            <v>280</v>
          </cell>
        </row>
        <row r="275">
          <cell r="J275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110">
          <cell r="H110">
            <v>46251.920000000006</v>
          </cell>
        </row>
        <row r="184">
          <cell r="H184">
            <v>0</v>
          </cell>
          <cell r="I184">
            <v>0</v>
          </cell>
          <cell r="M184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15">
          <cell r="H15">
            <v>98523</v>
          </cell>
          <cell r="J15">
            <v>0</v>
          </cell>
          <cell r="K15">
            <v>0</v>
          </cell>
        </row>
        <row r="23">
          <cell r="K23">
            <v>0</v>
          </cell>
        </row>
        <row r="31">
          <cell r="J31">
            <v>0</v>
          </cell>
          <cell r="K31">
            <v>0</v>
          </cell>
        </row>
        <row r="41">
          <cell r="J41">
            <v>0</v>
          </cell>
          <cell r="K41">
            <v>0</v>
          </cell>
        </row>
        <row r="60">
          <cell r="K60">
            <v>0</v>
          </cell>
        </row>
        <row r="67">
          <cell r="J67">
            <v>0</v>
          </cell>
          <cell r="K67">
            <v>0</v>
          </cell>
        </row>
        <row r="75">
          <cell r="J75">
            <v>90</v>
          </cell>
          <cell r="K75">
            <v>0</v>
          </cell>
        </row>
        <row r="90">
          <cell r="K90">
            <v>0</v>
          </cell>
        </row>
        <row r="105">
          <cell r="K105">
            <v>0</v>
          </cell>
        </row>
        <row r="113">
          <cell r="J113">
            <v>0</v>
          </cell>
          <cell r="K113">
            <v>0</v>
          </cell>
        </row>
        <row r="124">
          <cell r="K124">
            <v>0</v>
          </cell>
        </row>
        <row r="135">
          <cell r="K135">
            <v>0</v>
          </cell>
        </row>
        <row r="147">
          <cell r="K147">
            <v>0</v>
          </cell>
        </row>
        <row r="155">
          <cell r="J155">
            <v>0</v>
          </cell>
          <cell r="K155">
            <v>0</v>
          </cell>
        </row>
        <row r="162">
          <cell r="K162">
            <v>0</v>
          </cell>
        </row>
        <row r="170">
          <cell r="K170">
            <v>0</v>
          </cell>
        </row>
        <row r="177">
          <cell r="J177">
            <v>0</v>
          </cell>
          <cell r="K177">
            <v>0</v>
          </cell>
          <cell r="L177">
            <v>0</v>
          </cell>
        </row>
        <row r="187">
          <cell r="K187">
            <v>0</v>
          </cell>
        </row>
        <row r="200">
          <cell r="J200">
            <v>0</v>
          </cell>
        </row>
        <row r="216">
          <cell r="K216">
            <v>0</v>
          </cell>
        </row>
        <row r="256">
          <cell r="K256">
            <v>0</v>
          </cell>
        </row>
        <row r="306">
          <cell r="J306">
            <v>0</v>
          </cell>
          <cell r="K306">
            <v>0</v>
          </cell>
        </row>
        <row r="313">
          <cell r="I313">
            <v>0</v>
          </cell>
          <cell r="K313">
            <v>0</v>
          </cell>
          <cell r="L313">
            <v>0</v>
          </cell>
        </row>
        <row r="352">
          <cell r="K352">
            <v>0</v>
          </cell>
        </row>
        <row r="358">
          <cell r="J358">
            <v>200</v>
          </cell>
          <cell r="K358">
            <v>0</v>
          </cell>
        </row>
        <row r="378">
          <cell r="K378">
            <v>0</v>
          </cell>
        </row>
        <row r="390">
          <cell r="J390">
            <v>480</v>
          </cell>
          <cell r="K390">
            <v>0</v>
          </cell>
        </row>
        <row r="394">
          <cell r="I394">
            <v>0</v>
          </cell>
          <cell r="J394">
            <v>130</v>
          </cell>
          <cell r="K394">
            <v>0</v>
          </cell>
        </row>
        <row r="436">
          <cell r="K436">
            <v>0</v>
          </cell>
        </row>
        <row r="452">
          <cell r="K452">
            <v>0</v>
          </cell>
        </row>
        <row r="456">
          <cell r="I456">
            <v>0</v>
          </cell>
          <cell r="J456">
            <v>155</v>
          </cell>
          <cell r="K456">
            <v>0</v>
          </cell>
        </row>
        <row r="502">
          <cell r="K502">
            <v>0</v>
          </cell>
        </row>
        <row r="513">
          <cell r="I513">
            <v>0</v>
          </cell>
        </row>
        <row r="521">
          <cell r="I521">
            <v>0</v>
          </cell>
          <cell r="J521">
            <v>165</v>
          </cell>
          <cell r="K521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198">
          <cell r="H198">
            <v>75529.275624999995</v>
          </cell>
          <cell r="I198">
            <v>2288.6275000000005</v>
          </cell>
          <cell r="M198">
            <v>73366.648125000007</v>
          </cell>
        </row>
        <row r="227">
          <cell r="H227">
            <v>70066.876499999998</v>
          </cell>
          <cell r="I227">
            <v>620.25487499999997</v>
          </cell>
          <cell r="J227">
            <v>1526</v>
          </cell>
          <cell r="M227">
            <v>71098.621625</v>
          </cell>
        </row>
        <row r="263">
          <cell r="H263">
            <v>37611.236250000009</v>
          </cell>
          <cell r="I263">
            <v>1273.3875</v>
          </cell>
          <cell r="K263">
            <v>875</v>
          </cell>
        </row>
        <row r="293">
          <cell r="H293">
            <v>89866.428750000006</v>
          </cell>
          <cell r="I293">
            <v>1604.4682500000001</v>
          </cell>
          <cell r="K293">
            <v>1764</v>
          </cell>
          <cell r="M293">
            <v>90025.960500000001</v>
          </cell>
        </row>
      </sheetData>
      <sheetData sheetId="2">
        <row r="24">
          <cell r="H24">
            <v>73284.911000000007</v>
          </cell>
        </row>
      </sheetData>
      <sheetData sheetId="3">
        <row r="37">
          <cell r="H37">
            <v>140808.65767499997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87">
          <cell r="H87">
            <v>6800.1040000000003</v>
          </cell>
        </row>
        <row r="239">
          <cell r="K239">
            <v>126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237">
          <cell r="H237">
            <v>17122.894425000002</v>
          </cell>
          <cell r="I237">
            <v>252.25200000000001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283">
          <cell r="J283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337">
          <cell r="J337">
            <v>691</v>
          </cell>
          <cell r="K337">
            <v>0</v>
          </cell>
        </row>
      </sheetData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INDICE"/>
      <sheetName val="MADRE"/>
      <sheetName val="EVENTUALES"/>
      <sheetName val="EVENTUALES SP"/>
      <sheetName val="COMPENSACIO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162">
          <cell r="H162">
            <v>15161.496000000001</v>
          </cell>
        </row>
        <row r="354">
          <cell r="J354">
            <v>548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282">
          <cell r="H282">
            <v>51628.500000000007</v>
          </cell>
        </row>
        <row r="406">
          <cell r="K406">
            <v>301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417">
          <cell r="J417">
            <v>215</v>
          </cell>
          <cell r="K417">
            <v>0</v>
          </cell>
        </row>
      </sheetData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447">
          <cell r="J447">
            <v>770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15">
          <cell r="L15">
            <v>0</v>
          </cell>
        </row>
        <row r="22">
          <cell r="L22">
            <v>0</v>
          </cell>
          <cell r="M22">
            <v>30908.08035</v>
          </cell>
        </row>
        <row r="30">
          <cell r="L30">
            <v>0</v>
          </cell>
          <cell r="M30">
            <v>27275.85</v>
          </cell>
        </row>
        <row r="39">
          <cell r="L39">
            <v>0</v>
          </cell>
          <cell r="M39">
            <v>38973.656925000003</v>
          </cell>
        </row>
        <row r="57">
          <cell r="L57">
            <v>0</v>
          </cell>
          <cell r="M57">
            <v>55796.8914</v>
          </cell>
        </row>
        <row r="64">
          <cell r="L64">
            <v>0</v>
          </cell>
          <cell r="M64">
            <v>14600.25</v>
          </cell>
        </row>
        <row r="79">
          <cell r="H79">
            <v>4420.1430000000009</v>
          </cell>
          <cell r="I79">
            <v>0</v>
          </cell>
          <cell r="L79">
            <v>0</v>
          </cell>
          <cell r="M79">
            <v>4510.1430000000009</v>
          </cell>
        </row>
        <row r="86">
          <cell r="H86">
            <v>11509.570800000001</v>
          </cell>
          <cell r="I86">
            <v>505.65</v>
          </cell>
          <cell r="L86">
            <v>0</v>
          </cell>
          <cell r="M86">
            <v>11003.920800000002</v>
          </cell>
        </row>
        <row r="99">
          <cell r="L99">
            <v>0</v>
          </cell>
          <cell r="M99">
            <v>47640.051000000007</v>
          </cell>
        </row>
        <row r="106">
          <cell r="L106">
            <v>0</v>
          </cell>
          <cell r="M106">
            <v>5250</v>
          </cell>
        </row>
        <row r="118">
          <cell r="L118">
            <v>0</v>
          </cell>
          <cell r="M118">
            <v>26123.749075</v>
          </cell>
        </row>
        <row r="130">
          <cell r="L130">
            <v>0</v>
          </cell>
          <cell r="M130">
            <v>31568.446100000005</v>
          </cell>
        </row>
        <row r="142">
          <cell r="L142">
            <v>0</v>
          </cell>
          <cell r="M142">
            <v>36442.097600000001</v>
          </cell>
        </row>
        <row r="150">
          <cell r="L150">
            <v>0</v>
          </cell>
          <cell r="M150">
            <v>6855.84</v>
          </cell>
        </row>
        <row r="158">
          <cell r="M158">
            <v>16774.4202</v>
          </cell>
        </row>
        <row r="165">
          <cell r="L165">
            <v>0</v>
          </cell>
          <cell r="M165">
            <v>7851.9168</v>
          </cell>
        </row>
        <row r="184">
          <cell r="L184">
            <v>0</v>
          </cell>
          <cell r="M184">
            <v>48440.394</v>
          </cell>
        </row>
        <row r="198">
          <cell r="L198">
            <v>0</v>
          </cell>
        </row>
        <row r="226">
          <cell r="L226">
            <v>0</v>
          </cell>
        </row>
        <row r="235">
          <cell r="L235">
            <v>0</v>
          </cell>
          <cell r="M235">
            <v>17102.642425000002</v>
          </cell>
        </row>
        <row r="244">
          <cell r="L244">
            <v>0</v>
          </cell>
          <cell r="M244">
            <v>20754.590400000001</v>
          </cell>
        </row>
        <row r="254">
          <cell r="L254">
            <v>0</v>
          </cell>
          <cell r="M254">
            <v>25412.902375000005</v>
          </cell>
        </row>
        <row r="261">
          <cell r="L261">
            <v>0</v>
          </cell>
        </row>
        <row r="273">
          <cell r="L273">
            <v>0</v>
          </cell>
        </row>
        <row r="293">
          <cell r="L293">
            <v>0</v>
          </cell>
        </row>
        <row r="302">
          <cell r="L302">
            <v>0</v>
          </cell>
          <cell r="M302">
            <v>23031.342075000004</v>
          </cell>
        </row>
        <row r="328">
          <cell r="H328">
            <v>74283.409199999995</v>
          </cell>
          <cell r="J328">
            <v>586</v>
          </cell>
          <cell r="L328">
            <v>0</v>
          </cell>
          <cell r="M328">
            <v>73166.708199999994</v>
          </cell>
        </row>
        <row r="333">
          <cell r="L333">
            <v>0</v>
          </cell>
        </row>
        <row r="343">
          <cell r="L343">
            <v>0</v>
          </cell>
          <cell r="M343">
            <v>42903.679624999997</v>
          </cell>
        </row>
        <row r="349">
          <cell r="L349">
            <v>0</v>
          </cell>
          <cell r="M349">
            <v>16711.084100000004</v>
          </cell>
        </row>
        <row r="369">
          <cell r="H369">
            <v>82527.796785000013</v>
          </cell>
          <cell r="J369">
            <v>1616</v>
          </cell>
          <cell r="L369">
            <v>0</v>
          </cell>
          <cell r="M369">
            <v>83931.951410000009</v>
          </cell>
        </row>
        <row r="380">
          <cell r="L380">
            <v>0</v>
          </cell>
          <cell r="M380">
            <v>45151.432575000006</v>
          </cell>
        </row>
        <row r="384">
          <cell r="L384">
            <v>0</v>
          </cell>
          <cell r="M384">
            <v>4194.4213750000008</v>
          </cell>
        </row>
        <row r="398">
          <cell r="H398">
            <v>39565.494675000009</v>
          </cell>
          <cell r="J398">
            <v>285</v>
          </cell>
          <cell r="L398">
            <v>0</v>
          </cell>
          <cell r="M398">
            <v>39429.05950000001</v>
          </cell>
        </row>
        <row r="407">
          <cell r="L407">
            <v>0</v>
          </cell>
          <cell r="M407">
            <v>15916.297850000003</v>
          </cell>
        </row>
        <row r="421">
          <cell r="L421">
            <v>0</v>
          </cell>
          <cell r="M421">
            <v>43095.677474999997</v>
          </cell>
        </row>
        <row r="436">
          <cell r="L436">
            <v>0</v>
          </cell>
          <cell r="M436">
            <v>43129.061675000004</v>
          </cell>
        </row>
        <row r="441">
          <cell r="M441">
            <v>7542.5768750000007</v>
          </cell>
        </row>
        <row r="442">
          <cell r="L442">
            <v>0</v>
          </cell>
        </row>
        <row r="489">
          <cell r="L489">
            <v>0</v>
          </cell>
          <cell r="M489">
            <v>204036.67242500008</v>
          </cell>
        </row>
        <row r="500">
          <cell r="L500">
            <v>0</v>
          </cell>
          <cell r="M500">
            <v>26065.282375000003</v>
          </cell>
        </row>
        <row r="508">
          <cell r="L508">
            <v>0</v>
          </cell>
          <cell r="M508">
            <v>2698.9860000000003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22">
          <cell r="H22">
            <v>32481.987300000001</v>
          </cell>
        </row>
        <row r="276">
          <cell r="K276">
            <v>1403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15">
          <cell r="H15">
            <v>111880.25572500002</v>
          </cell>
        </row>
        <row r="22">
          <cell r="I22">
            <v>1573.9069500000001</v>
          </cell>
        </row>
        <row r="30">
          <cell r="H30">
            <v>28636.191674999998</v>
          </cell>
          <cell r="I30">
            <v>1360.3416750000004</v>
          </cell>
        </row>
        <row r="39">
          <cell r="H39">
            <v>40834.787174999998</v>
          </cell>
          <cell r="I39">
            <v>1861.1302500000004</v>
          </cell>
        </row>
        <row r="57">
          <cell r="H57">
            <v>57433.57987500001</v>
          </cell>
          <cell r="I57">
            <v>1816.6884750000004</v>
          </cell>
        </row>
        <row r="64">
          <cell r="H64">
            <v>15077.191500000001</v>
          </cell>
          <cell r="I64">
            <v>476.94150000000002</v>
          </cell>
        </row>
        <row r="99">
          <cell r="H99">
            <v>48238.608600000007</v>
          </cell>
          <cell r="I99">
            <v>958.55760000000009</v>
          </cell>
        </row>
        <row r="106">
          <cell r="H106">
            <v>5250</v>
          </cell>
        </row>
        <row r="118">
          <cell r="H118">
            <v>26205.399675000001</v>
          </cell>
          <cell r="I118">
            <v>505.65060000000011</v>
          </cell>
        </row>
        <row r="130">
          <cell r="H130">
            <v>31713.349500000008</v>
          </cell>
          <cell r="I130">
            <v>504.90340000000003</v>
          </cell>
        </row>
        <row r="159">
          <cell r="H159">
            <v>17190.070800000001</v>
          </cell>
          <cell r="I159">
            <v>505.65060000000011</v>
          </cell>
        </row>
        <row r="166">
          <cell r="H166">
            <v>8031.933</v>
          </cell>
          <cell r="I166">
            <v>180.01620000000003</v>
          </cell>
        </row>
        <row r="185">
          <cell r="H185">
            <v>49838.115600000005</v>
          </cell>
          <cell r="I185">
            <v>1577.7216000000003</v>
          </cell>
        </row>
        <row r="207">
          <cell r="L207">
            <v>0</v>
          </cell>
        </row>
        <row r="247">
          <cell r="H247">
            <v>21080.241000000002</v>
          </cell>
          <cell r="I247">
            <v>505.65060000000011</v>
          </cell>
        </row>
        <row r="257">
          <cell r="H257">
            <v>26225.101350000004</v>
          </cell>
          <cell r="I257">
            <v>1092.1989750000002</v>
          </cell>
        </row>
        <row r="302">
          <cell r="H302">
            <v>23870.777175000003</v>
          </cell>
          <cell r="I302">
            <v>839.43510000000003</v>
          </cell>
        </row>
        <row r="328">
          <cell r="I328">
            <v>1702.7010000000002</v>
          </cell>
        </row>
        <row r="333">
          <cell r="I333">
            <v>209.82780000000002</v>
          </cell>
        </row>
        <row r="343">
          <cell r="H343">
            <v>43029.604800000001</v>
          </cell>
          <cell r="I343">
            <v>673.92517500000008</v>
          </cell>
        </row>
        <row r="349">
          <cell r="H349">
            <v>16922.669400000002</v>
          </cell>
          <cell r="I349">
            <v>411.58530000000007</v>
          </cell>
        </row>
        <row r="369">
          <cell r="I369">
            <v>211.84537500000002</v>
          </cell>
        </row>
        <row r="380">
          <cell r="H380">
            <v>45140.634525000009</v>
          </cell>
          <cell r="I380">
            <v>469.20195000000012</v>
          </cell>
        </row>
        <row r="384">
          <cell r="H384">
            <v>4064.4213750000008</v>
          </cell>
        </row>
        <row r="399">
          <cell r="I399">
            <v>722.43517500000007</v>
          </cell>
        </row>
        <row r="408">
          <cell r="H408">
            <v>15953.549850000003</v>
          </cell>
          <cell r="I408">
            <v>252.25200000000001</v>
          </cell>
        </row>
        <row r="423">
          <cell r="I423">
            <v>561.83400000000006</v>
          </cell>
        </row>
        <row r="438">
          <cell r="H438">
            <v>42821.141475000004</v>
          </cell>
          <cell r="I438">
            <v>462.07980000000003</v>
          </cell>
        </row>
        <row r="443">
          <cell r="H443">
            <v>7387.5768750000007</v>
          </cell>
        </row>
        <row r="506">
          <cell r="H506">
            <v>2533.9860000000003</v>
          </cell>
        </row>
      </sheetData>
      <sheetData sheetId="2">
        <row r="23">
          <cell r="I23">
            <v>317.07900000000001</v>
          </cell>
        </row>
      </sheetData>
      <sheetData sheetId="3">
        <row r="34">
          <cell r="I34">
            <v>505.6506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  <sheetName val="PERSONAL AYUNTAMIENTO"/>
    </sheetNames>
    <sheetDataSet>
      <sheetData sheetId="0" refreshError="1"/>
      <sheetData sheetId="1" refreshError="1">
        <row r="15">
          <cell r="H15">
            <v>106552.62450000001</v>
          </cell>
        </row>
        <row r="22">
          <cell r="J22">
            <v>0</v>
          </cell>
        </row>
        <row r="194">
          <cell r="J194">
            <v>180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15">
          <cell r="H15">
            <v>106552.62450000001</v>
          </cell>
        </row>
        <row r="59">
          <cell r="J59">
            <v>180</v>
          </cell>
        </row>
        <row r="73">
          <cell r="H73">
            <v>0</v>
          </cell>
          <cell r="I73">
            <v>0</v>
          </cell>
          <cell r="M73">
            <v>0</v>
          </cell>
        </row>
        <row r="502">
          <cell r="I502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66">
          <cell r="J66">
            <v>0</v>
          </cell>
          <cell r="K66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15">
          <cell r="L15">
            <v>0</v>
          </cell>
        </row>
        <row r="74">
          <cell r="L74">
            <v>0</v>
          </cell>
        </row>
        <row r="90">
          <cell r="L9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GV468"/>
  <sheetViews>
    <sheetView tabSelected="1" topLeftCell="C1" zoomScale="70" zoomScaleNormal="70" zoomScaleSheetLayoutView="85" zoomScalePageLayoutView="70" workbookViewId="0">
      <selection activeCell="L11" sqref="L11"/>
    </sheetView>
  </sheetViews>
  <sheetFormatPr baseColWidth="10" defaultColWidth="11.28515625" defaultRowHeight="12.75" customHeight="1" x14ac:dyDescent="0.3"/>
  <cols>
    <col min="1" max="1" width="48.7109375" style="58" customWidth="1"/>
    <col min="2" max="2" width="32" style="25" customWidth="1"/>
    <col min="3" max="3" width="23.7109375" style="25" customWidth="1"/>
    <col min="4" max="4" width="20" style="25" customWidth="1"/>
    <col min="5" max="5" width="23.5703125" style="25" customWidth="1"/>
    <col min="6" max="6" width="21.140625" style="25" customWidth="1"/>
    <col min="7" max="7" width="22.28515625" style="285" customWidth="1"/>
    <col min="8" max="8" width="19.42578125" style="25" customWidth="1"/>
    <col min="9" max="16384" width="11.28515625" style="1"/>
  </cols>
  <sheetData>
    <row r="1" spans="1:8" ht="15" customHeight="1" x14ac:dyDescent="0.3">
      <c r="B1" s="14"/>
      <c r="D1" s="14"/>
      <c r="E1" s="37" t="s">
        <v>8</v>
      </c>
      <c r="F1" s="14"/>
      <c r="G1" s="14"/>
      <c r="H1" s="14"/>
    </row>
    <row r="2" spans="1:8" ht="15" customHeight="1" x14ac:dyDescent="0.3">
      <c r="B2" s="14"/>
      <c r="D2" s="14"/>
      <c r="E2" s="37" t="s">
        <v>384</v>
      </c>
      <c r="F2" s="14"/>
      <c r="G2" s="14"/>
      <c r="H2" s="14"/>
    </row>
    <row r="3" spans="1:8" ht="15" customHeight="1" x14ac:dyDescent="0.3">
      <c r="B3" s="14"/>
      <c r="D3" s="14"/>
      <c r="E3" s="37" t="s">
        <v>179</v>
      </c>
      <c r="F3" s="14"/>
      <c r="G3" s="14"/>
      <c r="H3" s="14"/>
    </row>
    <row r="4" spans="1:8" ht="15" customHeight="1" x14ac:dyDescent="0.3">
      <c r="B4" s="14"/>
      <c r="D4" s="14"/>
      <c r="E4" s="37" t="s">
        <v>473</v>
      </c>
      <c r="F4" s="14"/>
      <c r="G4" s="14"/>
      <c r="H4" s="14"/>
    </row>
    <row r="5" spans="1:8" ht="15" customHeight="1" x14ac:dyDescent="0.3">
      <c r="A5" s="12" t="s">
        <v>7</v>
      </c>
      <c r="B5" s="15"/>
      <c r="C5" s="15"/>
      <c r="D5" s="15"/>
      <c r="E5" s="15" t="s">
        <v>320</v>
      </c>
      <c r="F5" s="15"/>
      <c r="G5" s="337"/>
      <c r="H5" s="15"/>
    </row>
    <row r="6" spans="1:8" s="4" customFormat="1" ht="39" customHeight="1" x14ac:dyDescent="0.2">
      <c r="A6" s="13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236</v>
      </c>
      <c r="G6" s="16" t="s">
        <v>247</v>
      </c>
      <c r="H6" s="16" t="s">
        <v>5</v>
      </c>
    </row>
    <row r="7" spans="1:8" ht="45" customHeight="1" x14ac:dyDescent="0.3">
      <c r="A7" s="51" t="s">
        <v>338</v>
      </c>
      <c r="B7" s="9" t="s">
        <v>19</v>
      </c>
      <c r="C7" s="133">
        <f>10947*1.03*1.05*1.05</f>
        <v>12431.139525000001</v>
      </c>
      <c r="D7" s="133">
        <f>441*1.03*1.05*1.05</f>
        <v>500.78857500000004</v>
      </c>
      <c r="E7" s="134"/>
      <c r="F7" s="134"/>
      <c r="G7" s="135"/>
      <c r="H7" s="134">
        <f>C7-D7+E7+F7+G7</f>
        <v>11930.35095</v>
      </c>
    </row>
    <row r="8" spans="1:8" ht="45" customHeight="1" x14ac:dyDescent="0.3">
      <c r="A8" s="51" t="s">
        <v>339</v>
      </c>
      <c r="B8" s="9" t="s">
        <v>19</v>
      </c>
      <c r="C8" s="133">
        <f t="shared" ref="C8:C14" si="0">10947*1.03*1.05*1.05</f>
        <v>12431.139525000001</v>
      </c>
      <c r="D8" s="133">
        <f t="shared" ref="D8:D14" si="1">441*1.03*1.05*1.05</f>
        <v>500.78857500000004</v>
      </c>
      <c r="E8" s="134"/>
      <c r="F8" s="134"/>
      <c r="G8" s="135"/>
      <c r="H8" s="134">
        <f>C8-D8+E8+F8+G8</f>
        <v>11930.35095</v>
      </c>
    </row>
    <row r="9" spans="1:8" ht="45" customHeight="1" x14ac:dyDescent="0.3">
      <c r="A9" s="304" t="s">
        <v>360</v>
      </c>
      <c r="B9" s="9" t="s">
        <v>465</v>
      </c>
      <c r="C9" s="133">
        <f t="shared" si="0"/>
        <v>12431.139525000001</v>
      </c>
      <c r="D9" s="133">
        <f t="shared" si="1"/>
        <v>500.78857500000004</v>
      </c>
      <c r="E9" s="134"/>
      <c r="F9" s="134"/>
      <c r="G9" s="135"/>
      <c r="H9" s="134">
        <f>C9-D9+E9+F9+G9</f>
        <v>11930.35095</v>
      </c>
    </row>
    <row r="10" spans="1:8" ht="45" customHeight="1" x14ac:dyDescent="0.3">
      <c r="A10" s="51" t="s">
        <v>341</v>
      </c>
      <c r="B10" s="10" t="s">
        <v>284</v>
      </c>
      <c r="C10" s="133">
        <f t="shared" si="0"/>
        <v>12431.139525000001</v>
      </c>
      <c r="D10" s="133">
        <f t="shared" si="1"/>
        <v>500.78857500000004</v>
      </c>
      <c r="E10" s="134"/>
      <c r="F10" s="134"/>
      <c r="G10" s="135"/>
      <c r="H10" s="134">
        <f>C10-D10+E10+F10+G10</f>
        <v>11930.35095</v>
      </c>
    </row>
    <row r="11" spans="1:8" ht="45" customHeight="1" x14ac:dyDescent="0.3">
      <c r="A11" s="51" t="s">
        <v>455</v>
      </c>
      <c r="B11" s="9" t="s">
        <v>19</v>
      </c>
      <c r="C11" s="133">
        <f t="shared" si="0"/>
        <v>12431.139525000001</v>
      </c>
      <c r="D11" s="133">
        <f t="shared" si="1"/>
        <v>500.78857500000004</v>
      </c>
      <c r="E11" s="134"/>
      <c r="F11" s="134"/>
      <c r="G11" s="135"/>
      <c r="H11" s="134">
        <f>C11-D11+E11+F11+G11</f>
        <v>11930.35095</v>
      </c>
    </row>
    <row r="12" spans="1:8" ht="45" customHeight="1" x14ac:dyDescent="0.3">
      <c r="A12" s="51" t="s">
        <v>464</v>
      </c>
      <c r="B12" s="9" t="s">
        <v>465</v>
      </c>
      <c r="C12" s="133">
        <f t="shared" si="0"/>
        <v>12431.139525000001</v>
      </c>
      <c r="D12" s="133">
        <f t="shared" si="1"/>
        <v>500.78857500000004</v>
      </c>
      <c r="E12" s="134"/>
      <c r="F12" s="134"/>
      <c r="G12" s="135"/>
      <c r="H12" s="134">
        <f t="shared" ref="H12" si="2">C12-D12+E12+F12+G12</f>
        <v>11930.35095</v>
      </c>
    </row>
    <row r="13" spans="1:8" ht="45" customHeight="1" x14ac:dyDescent="0.3">
      <c r="A13" s="51" t="s">
        <v>342</v>
      </c>
      <c r="B13" s="9" t="s">
        <v>19</v>
      </c>
      <c r="C13" s="133">
        <f t="shared" si="0"/>
        <v>12431.139525000001</v>
      </c>
      <c r="D13" s="133">
        <f t="shared" si="1"/>
        <v>500.78857500000004</v>
      </c>
      <c r="E13" s="134"/>
      <c r="F13" s="134"/>
      <c r="G13" s="135"/>
      <c r="H13" s="134">
        <f>C13-D13+E13+F13+G13</f>
        <v>11930.35095</v>
      </c>
    </row>
    <row r="14" spans="1:8" ht="45" customHeight="1" thickBot="1" x14ac:dyDescent="0.35">
      <c r="A14" s="51" t="s">
        <v>343</v>
      </c>
      <c r="B14" s="9" t="s">
        <v>19</v>
      </c>
      <c r="C14" s="280">
        <f t="shared" si="0"/>
        <v>12431.139525000001</v>
      </c>
      <c r="D14" s="280">
        <f t="shared" si="1"/>
        <v>500.78857500000004</v>
      </c>
      <c r="E14" s="287"/>
      <c r="F14" s="287"/>
      <c r="G14" s="342"/>
      <c r="H14" s="280">
        <f>C14-D14+E14+F14+G14</f>
        <v>11930.35095</v>
      </c>
    </row>
    <row r="15" spans="1:8" ht="25.5" customHeight="1" thickTop="1" thickBot="1" x14ac:dyDescent="0.35">
      <c r="A15" s="11"/>
      <c r="B15" s="37" t="s">
        <v>6</v>
      </c>
      <c r="C15" s="135">
        <f>SUM(C7:C14)</f>
        <v>99449.116200000019</v>
      </c>
      <c r="D15" s="135">
        <f>SUM(D7:D14)</f>
        <v>4006.3086000000003</v>
      </c>
      <c r="E15" s="135">
        <f>SUM(E7:E14)</f>
        <v>0</v>
      </c>
      <c r="F15" s="135"/>
      <c r="G15" s="135">
        <f t="shared" ref="G15:H15" si="3">SUM(G7:G14)</f>
        <v>0</v>
      </c>
      <c r="H15" s="135">
        <f t="shared" si="3"/>
        <v>95442.8076</v>
      </c>
    </row>
    <row r="16" spans="1:8" ht="25.5" customHeight="1" thickBot="1" x14ac:dyDescent="0.35">
      <c r="A16" s="11"/>
      <c r="B16" s="136" t="s">
        <v>215</v>
      </c>
      <c r="C16" s="137">
        <f>C15-[1]MADRE!$H$14</f>
        <v>0</v>
      </c>
      <c r="D16" s="137">
        <f>D15-[1]MADRE!$I$14</f>
        <v>0</v>
      </c>
      <c r="E16" s="137">
        <f>E15-[2]MADRE!J$15</f>
        <v>0</v>
      </c>
      <c r="F16" s="137">
        <f>F15-[2]MADRE!K$15</f>
        <v>0</v>
      </c>
      <c r="G16" s="137">
        <f>G15-[3]MADRE!$L$15</f>
        <v>0</v>
      </c>
      <c r="H16" s="137">
        <f>H15-[1]MADRE!$M$14</f>
        <v>0</v>
      </c>
    </row>
    <row r="17" spans="1:8" ht="15" customHeight="1" x14ac:dyDescent="0.3">
      <c r="A17" s="39" t="s">
        <v>180</v>
      </c>
      <c r="B17" s="17"/>
      <c r="C17" s="17"/>
      <c r="D17" s="17"/>
      <c r="E17" s="17"/>
      <c r="F17" s="17"/>
      <c r="G17" s="17"/>
      <c r="H17" s="17"/>
    </row>
    <row r="18" spans="1:8" ht="45" customHeight="1" thickBot="1" x14ac:dyDescent="0.35">
      <c r="A18" s="64" t="s">
        <v>340</v>
      </c>
      <c r="B18" s="18" t="s">
        <v>467</v>
      </c>
      <c r="C18" s="357">
        <f>28604*1.03*1.05*1.05</f>
        <v>32481.987300000001</v>
      </c>
      <c r="D18" s="357">
        <f>1386*1.03*1.05*1.05</f>
        <v>1573.9069500000001</v>
      </c>
      <c r="E18" s="357"/>
      <c r="F18" s="357"/>
      <c r="G18" s="357"/>
      <c r="H18" s="357">
        <f>C18-D18+E18+F18+G18</f>
        <v>30908.08035</v>
      </c>
    </row>
    <row r="19" spans="1:8" ht="25.5" customHeight="1" thickTop="1" thickBot="1" x14ac:dyDescent="0.35">
      <c r="B19" s="37" t="s">
        <v>6</v>
      </c>
      <c r="C19" s="143">
        <f t="shared" ref="C19:G19" si="4">SUM(C18)</f>
        <v>32481.987300000001</v>
      </c>
      <c r="D19" s="143">
        <f t="shared" si="4"/>
        <v>1573.9069500000001</v>
      </c>
      <c r="E19" s="143">
        <f t="shared" si="4"/>
        <v>0</v>
      </c>
      <c r="F19" s="143">
        <f t="shared" si="4"/>
        <v>0</v>
      </c>
      <c r="G19" s="143">
        <f t="shared" si="4"/>
        <v>0</v>
      </c>
      <c r="H19" s="143">
        <f>SUM(H18)</f>
        <v>30908.08035</v>
      </c>
    </row>
    <row r="20" spans="1:8" ht="25.5" customHeight="1" x14ac:dyDescent="0.3">
      <c r="B20" s="139" t="s">
        <v>215</v>
      </c>
      <c r="C20" s="143">
        <f>C19-[4]MADRE!$H$22</f>
        <v>0</v>
      </c>
      <c r="D20" s="143">
        <f>D19-[5]MADRE!$I$22</f>
        <v>0</v>
      </c>
      <c r="E20" s="143">
        <f>E19-[6]MADRE!$J$22</f>
        <v>0</v>
      </c>
      <c r="F20" s="143">
        <f>F19-[2]MADRE!K$23</f>
        <v>0</v>
      </c>
      <c r="G20" s="143">
        <f>G19-[3]MADRE!$L$22</f>
        <v>0</v>
      </c>
      <c r="H20" s="143">
        <f>H19-[3]MADRE!$M$22</f>
        <v>0</v>
      </c>
    </row>
    <row r="21" spans="1:8" ht="15" customHeight="1" x14ac:dyDescent="0.3">
      <c r="A21" s="59" t="s">
        <v>303</v>
      </c>
      <c r="B21" s="19"/>
      <c r="C21" s="19"/>
      <c r="D21" s="19"/>
      <c r="E21" s="19"/>
      <c r="F21" s="19"/>
      <c r="G21" s="364"/>
      <c r="H21" s="19"/>
    </row>
    <row r="22" spans="1:8" ht="50.25" customHeight="1" x14ac:dyDescent="0.3">
      <c r="A22" s="93" t="s">
        <v>371</v>
      </c>
      <c r="B22" s="20" t="s">
        <v>305</v>
      </c>
      <c r="C22" s="138">
        <f>18997*1.03*1.05*1.05</f>
        <v>21572.518274999999</v>
      </c>
      <c r="D22" s="138">
        <f>997*1.03*1.05*1.05</f>
        <v>1132.1682750000002</v>
      </c>
      <c r="E22" s="138"/>
      <c r="F22" s="138"/>
      <c r="G22" s="138"/>
      <c r="H22" s="141">
        <f>C22-D22+G22</f>
        <v>20440.349999999999</v>
      </c>
    </row>
    <row r="23" spans="1:8" ht="56.25" customHeight="1" thickBot="1" x14ac:dyDescent="0.35">
      <c r="A23" s="60" t="s">
        <v>11</v>
      </c>
      <c r="B23" s="116" t="s">
        <v>9</v>
      </c>
      <c r="C23" s="133">
        <f>6406.96*1.05*1.05</f>
        <v>7063.6734000000006</v>
      </c>
      <c r="D23" s="133">
        <f>199*1.04*1.05*1.05</f>
        <v>228.17340000000004</v>
      </c>
      <c r="E23" s="133"/>
      <c r="F23" s="133"/>
      <c r="G23" s="135"/>
      <c r="H23" s="133">
        <f>C23-D23+G23</f>
        <v>6835.5000000000009</v>
      </c>
    </row>
    <row r="24" spans="1:8" ht="25.5" customHeight="1" thickTop="1" thickBot="1" x14ac:dyDescent="0.35">
      <c r="A24" s="53"/>
      <c r="B24" s="37" t="s">
        <v>6</v>
      </c>
      <c r="C24" s="142">
        <f t="shared" ref="C24:G24" si="5">SUM(C22:C23)</f>
        <v>28636.191674999998</v>
      </c>
      <c r="D24" s="142">
        <f t="shared" si="5"/>
        <v>1360.3416750000004</v>
      </c>
      <c r="E24" s="142">
        <f t="shared" si="5"/>
        <v>0</v>
      </c>
      <c r="F24" s="142">
        <f t="shared" si="5"/>
        <v>0</v>
      </c>
      <c r="G24" s="142">
        <f t="shared" si="5"/>
        <v>0</v>
      </c>
      <c r="H24" s="142">
        <f>SUM(H22:H23)</f>
        <v>27275.85</v>
      </c>
    </row>
    <row r="25" spans="1:8" ht="25.5" customHeight="1" x14ac:dyDescent="0.3">
      <c r="A25" s="53"/>
      <c r="B25" s="139" t="s">
        <v>215</v>
      </c>
      <c r="C25" s="140">
        <f>C24-[5]MADRE!$H$30</f>
        <v>0</v>
      </c>
      <c r="D25" s="140">
        <f>D24-[5]MADRE!$I$30</f>
        <v>0</v>
      </c>
      <c r="E25" s="140">
        <f>E24-[2]MADRE!J$31</f>
        <v>0</v>
      </c>
      <c r="F25" s="140">
        <f>F24-[2]MADRE!K$31</f>
        <v>0</v>
      </c>
      <c r="G25" s="140">
        <f>G24-[3]MADRE!$L$30</f>
        <v>0</v>
      </c>
      <c r="H25" s="140">
        <f>H24-[3]MADRE!$M$30</f>
        <v>0</v>
      </c>
    </row>
    <row r="26" spans="1:8" ht="15" customHeight="1" x14ac:dyDescent="0.3">
      <c r="A26" s="59" t="s">
        <v>304</v>
      </c>
      <c r="B26" s="19"/>
      <c r="C26" s="19"/>
      <c r="D26" s="19"/>
      <c r="E26" s="19"/>
      <c r="F26" s="19"/>
      <c r="G26" s="19"/>
      <c r="H26" s="19"/>
    </row>
    <row r="27" spans="1:8" ht="56.25" customHeight="1" x14ac:dyDescent="0.3">
      <c r="A27" s="52" t="s">
        <v>357</v>
      </c>
      <c r="B27" s="18" t="s">
        <v>471</v>
      </c>
      <c r="C27" s="138">
        <f>18997*1.03*1.05*1.05</f>
        <v>21572.518274999999</v>
      </c>
      <c r="D27" s="138">
        <f>997*1.03*1.05*1.05</f>
        <v>1132.1682750000002</v>
      </c>
      <c r="E27" s="138"/>
      <c r="F27" s="138"/>
      <c r="G27" s="138"/>
      <c r="H27" s="141">
        <f>C27-D27+G27</f>
        <v>20440.349999999999</v>
      </c>
    </row>
    <row r="28" spans="1:8" ht="56.25" customHeight="1" x14ac:dyDescent="0.3">
      <c r="A28" s="51" t="s">
        <v>404</v>
      </c>
      <c r="B28" s="10" t="s">
        <v>35</v>
      </c>
      <c r="C28" s="133">
        <f>10947*1.03*1.05</f>
        <v>11839.1805</v>
      </c>
      <c r="D28" s="133">
        <f>441*1.03*1.05*1.05</f>
        <v>500.78857500000004</v>
      </c>
      <c r="E28" s="143"/>
      <c r="F28" s="143"/>
      <c r="G28" s="135"/>
      <c r="H28" s="133">
        <f>C28-D28+G28</f>
        <v>11338.391925</v>
      </c>
    </row>
    <row r="29" spans="1:8" ht="51" customHeight="1" thickBot="1" x14ac:dyDescent="0.35">
      <c r="A29" s="53" t="s">
        <v>314</v>
      </c>
      <c r="B29" s="116" t="s">
        <v>246</v>
      </c>
      <c r="C29" s="278">
        <f>6474*1.04*1.05*1.05</f>
        <v>7423.0884000000005</v>
      </c>
      <c r="D29" s="277">
        <f>199*1.04*1.05*1.05</f>
        <v>228.17340000000004</v>
      </c>
      <c r="E29" s="277"/>
      <c r="F29" s="277"/>
      <c r="G29" s="135"/>
      <c r="H29" s="280">
        <f>C29-D29+E29+F29+G29</f>
        <v>7194.9150000000009</v>
      </c>
    </row>
    <row r="30" spans="1:8" ht="25.5" customHeight="1" thickTop="1" thickBot="1" x14ac:dyDescent="0.35">
      <c r="A30" s="53"/>
      <c r="B30" s="37" t="s">
        <v>6</v>
      </c>
      <c r="C30" s="142">
        <f>SUM(C27:C29)</f>
        <v>40834.787174999998</v>
      </c>
      <c r="D30" s="142">
        <f>SUM(D27:D29)</f>
        <v>1861.1302500000004</v>
      </c>
      <c r="E30" s="142">
        <f t="shared" ref="E30:G30" si="6">SUM(E27:E28)</f>
        <v>0</v>
      </c>
      <c r="F30" s="142">
        <f t="shared" si="6"/>
        <v>0</v>
      </c>
      <c r="G30" s="142">
        <f t="shared" si="6"/>
        <v>0</v>
      </c>
      <c r="H30" s="142">
        <f>SUM(H27:H29)</f>
        <v>38973.656925000003</v>
      </c>
    </row>
    <row r="31" spans="1:8" ht="25.5" customHeight="1" x14ac:dyDescent="0.3">
      <c r="A31" s="53"/>
      <c r="B31" s="139" t="s">
        <v>215</v>
      </c>
      <c r="C31" s="140">
        <f>C30-[5]MADRE!$H$39</f>
        <v>0</v>
      </c>
      <c r="D31" s="140">
        <f>D30-[5]MADRE!$I$39</f>
        <v>0</v>
      </c>
      <c r="E31" s="140">
        <f>E30-[2]MADRE!J$41</f>
        <v>0</v>
      </c>
      <c r="F31" s="140">
        <f>F30-[2]MADRE!K$41</f>
        <v>0</v>
      </c>
      <c r="G31" s="140">
        <f>G30-[3]MADRE!$L$39</f>
        <v>0</v>
      </c>
      <c r="H31" s="140">
        <f>H30-[3]MADRE!$M$39</f>
        <v>0</v>
      </c>
    </row>
    <row r="32" spans="1:8" ht="15" customHeight="1" x14ac:dyDescent="0.3">
      <c r="A32" s="12" t="s">
        <v>181</v>
      </c>
      <c r="B32" s="144"/>
      <c r="C32" s="15"/>
      <c r="D32" s="15"/>
      <c r="E32" s="15"/>
      <c r="F32" s="15"/>
      <c r="G32" s="15"/>
      <c r="H32" s="15"/>
    </row>
    <row r="33" spans="1:8" ht="51" customHeight="1" x14ac:dyDescent="0.3">
      <c r="A33" s="54" t="s">
        <v>344</v>
      </c>
      <c r="B33" s="109" t="s">
        <v>345</v>
      </c>
      <c r="C33" s="138">
        <f>18997*1.03*1.05*1.05</f>
        <v>21572.518274999999</v>
      </c>
      <c r="D33" s="138">
        <f>997*1.03*1.05*1.05</f>
        <v>1132.1682750000002</v>
      </c>
      <c r="E33" s="138"/>
      <c r="F33" s="138"/>
      <c r="G33" s="138"/>
      <c r="H33" s="138">
        <f>C33-D33+G33</f>
        <v>20440.349999999999</v>
      </c>
    </row>
    <row r="34" spans="1:8" ht="51" customHeight="1" x14ac:dyDescent="0.3">
      <c r="A34" s="53" t="s">
        <v>302</v>
      </c>
      <c r="B34" s="22" t="s">
        <v>296</v>
      </c>
      <c r="C34" s="133">
        <f>6928*1.04*1.05*1.05</f>
        <v>7943.6448000000009</v>
      </c>
      <c r="D34" s="133">
        <f>220*1.04*1.05*1.05</f>
        <v>252.25200000000001</v>
      </c>
      <c r="E34" s="133"/>
      <c r="G34" s="135"/>
      <c r="H34" s="134">
        <f>C34-D34+E34+F34+G34</f>
        <v>7691.3928000000005</v>
      </c>
    </row>
    <row r="35" spans="1:8" ht="51" customHeight="1" x14ac:dyDescent="0.3">
      <c r="A35" s="53" t="s">
        <v>17</v>
      </c>
      <c r="B35" s="111" t="s">
        <v>297</v>
      </c>
      <c r="C35" s="145">
        <f>5241*1.04*1.05*1.05</f>
        <v>6009.3306000000011</v>
      </c>
      <c r="D35" s="134"/>
      <c r="E35" s="134">
        <v>90</v>
      </c>
      <c r="F35" s="134"/>
      <c r="G35" s="135"/>
      <c r="H35" s="134">
        <f>C35-D35+E35+F35+G35</f>
        <v>6099.3306000000011</v>
      </c>
    </row>
    <row r="36" spans="1:8" ht="51" customHeight="1" x14ac:dyDescent="0.3">
      <c r="A36" s="61" t="s">
        <v>24</v>
      </c>
      <c r="B36" s="111" t="s">
        <v>298</v>
      </c>
      <c r="C36" s="145">
        <f>6928*1.04*1.05*1.05</f>
        <v>7943.6448000000009</v>
      </c>
      <c r="D36" s="147">
        <f>220*1.04*1.05*1.05</f>
        <v>252.25200000000001</v>
      </c>
      <c r="E36" s="148"/>
      <c r="F36" s="148"/>
      <c r="G36" s="135"/>
      <c r="H36" s="134">
        <f>C36-D36+E36+F36+G36</f>
        <v>7691.3928000000005</v>
      </c>
    </row>
    <row r="37" spans="1:8" ht="51" customHeight="1" x14ac:dyDescent="0.3">
      <c r="A37" s="61" t="s">
        <v>14</v>
      </c>
      <c r="B37" s="30" t="s">
        <v>299</v>
      </c>
      <c r="C37" s="149">
        <f>5964*1.04*1.05*1.05</f>
        <v>6838.3224000000009</v>
      </c>
      <c r="D37" s="316">
        <f>157*1.04*1.05*1.05</f>
        <v>180.01620000000003</v>
      </c>
      <c r="E37" s="148"/>
      <c r="F37" s="316"/>
      <c r="G37" s="135"/>
      <c r="H37" s="134">
        <f>C37-D37+E37+F37+G37</f>
        <v>6658.3062000000009</v>
      </c>
    </row>
    <row r="38" spans="1:8" ht="51" customHeight="1" thickBot="1" x14ac:dyDescent="0.35">
      <c r="A38" s="53" t="s">
        <v>16</v>
      </c>
      <c r="B38" s="124" t="s">
        <v>21</v>
      </c>
      <c r="C38" s="163">
        <f>6215*1.04*1.05*1.05</f>
        <v>7126.1190000000006</v>
      </c>
      <c r="D38" s="278"/>
      <c r="E38" s="163">
        <v>90</v>
      </c>
      <c r="F38" s="278"/>
      <c r="G38" s="342"/>
      <c r="H38" s="277">
        <f>C38-D38+E38+F38+G38</f>
        <v>7216.1190000000006</v>
      </c>
    </row>
    <row r="39" spans="1:8" ht="25.5" customHeight="1" thickTop="1" thickBot="1" x14ac:dyDescent="0.35">
      <c r="B39" s="37" t="s">
        <v>6</v>
      </c>
      <c r="C39" s="152">
        <f t="shared" ref="C39:G39" si="7">SUM(C33:C38)</f>
        <v>57433.579875000003</v>
      </c>
      <c r="D39" s="152">
        <f t="shared" si="7"/>
        <v>1816.6884750000002</v>
      </c>
      <c r="E39" s="152">
        <f t="shared" si="7"/>
        <v>180</v>
      </c>
      <c r="F39" s="152">
        <f t="shared" si="7"/>
        <v>0</v>
      </c>
      <c r="G39" s="152">
        <f t="shared" si="7"/>
        <v>0</v>
      </c>
      <c r="H39" s="152">
        <f>SUM(H33:H38)</f>
        <v>55796.8914</v>
      </c>
    </row>
    <row r="40" spans="1:8" ht="25.5" customHeight="1" thickBot="1" x14ac:dyDescent="0.35">
      <c r="B40" s="136" t="s">
        <v>215</v>
      </c>
      <c r="C40" s="137">
        <f>C39-[5]MADRE!$H$57</f>
        <v>0</v>
      </c>
      <c r="D40" s="137">
        <f>D39-[5]MADRE!$I$57</f>
        <v>0</v>
      </c>
      <c r="E40" s="137">
        <f>E39-[7]MADRE!$J$59</f>
        <v>0</v>
      </c>
      <c r="F40" s="137">
        <f>F39-[2]MADRE!K$60</f>
        <v>0</v>
      </c>
      <c r="G40" s="137">
        <f>G39-[3]MADRE!$L$57</f>
        <v>0</v>
      </c>
      <c r="H40" s="137">
        <f>H39-[3]MADRE!$M$57</f>
        <v>0</v>
      </c>
    </row>
    <row r="41" spans="1:8" ht="15" customHeight="1" x14ac:dyDescent="0.3">
      <c r="A41" s="12" t="s">
        <v>398</v>
      </c>
      <c r="B41" s="15"/>
      <c r="C41" s="15"/>
      <c r="D41" s="15"/>
      <c r="E41" s="15"/>
      <c r="F41" s="15"/>
      <c r="G41" s="15"/>
      <c r="H41" s="15"/>
    </row>
    <row r="42" spans="1:8" ht="51" customHeight="1" thickBot="1" x14ac:dyDescent="0.35">
      <c r="A42" s="52" t="s">
        <v>442</v>
      </c>
      <c r="B42" s="112" t="s">
        <v>432</v>
      </c>
      <c r="C42" s="310">
        <f>14359.23*1.05</f>
        <v>15077.191500000001</v>
      </c>
      <c r="D42" s="310">
        <f>454.23*1.05</f>
        <v>476.94150000000002</v>
      </c>
      <c r="E42" s="311"/>
      <c r="F42" s="310"/>
      <c r="G42" s="310"/>
      <c r="H42" s="310">
        <f>C42-D42+G42</f>
        <v>14600.25</v>
      </c>
    </row>
    <row r="43" spans="1:8" ht="24" customHeight="1" thickTop="1" thickBot="1" x14ac:dyDescent="0.35">
      <c r="A43" s="53"/>
      <c r="B43" s="152">
        <f>SUM(B37:B42)</f>
        <v>0</v>
      </c>
      <c r="C43" s="152">
        <f t="shared" ref="C43:G43" si="8">SUM(C42)</f>
        <v>15077.191500000001</v>
      </c>
      <c r="D43" s="152">
        <f t="shared" si="8"/>
        <v>476.94150000000002</v>
      </c>
      <c r="E43" s="152">
        <f t="shared" si="8"/>
        <v>0</v>
      </c>
      <c r="F43" s="152">
        <f t="shared" si="8"/>
        <v>0</v>
      </c>
      <c r="G43" s="152">
        <f t="shared" si="8"/>
        <v>0</v>
      </c>
      <c r="H43" s="152">
        <f>SUM(H42)</f>
        <v>14600.25</v>
      </c>
    </row>
    <row r="44" spans="1:8" ht="28.5" customHeight="1" thickBot="1" x14ac:dyDescent="0.35">
      <c r="A44" s="53"/>
      <c r="B44" s="136" t="s">
        <v>215</v>
      </c>
      <c r="C44" s="137">
        <f>C43-[5]MADRE!$H$64</f>
        <v>0</v>
      </c>
      <c r="D44" s="137">
        <f>D43-[5]MADRE!$I$64</f>
        <v>0</v>
      </c>
      <c r="E44" s="137">
        <f>E43-[8]MADRE!$J$66</f>
        <v>0</v>
      </c>
      <c r="F44" s="137">
        <f>F43-[8]MADRE!$K$66</f>
        <v>0</v>
      </c>
      <c r="G44" s="137">
        <f>G43-[3]MADRE!$L$64</f>
        <v>0</v>
      </c>
      <c r="H44" s="137">
        <f>H43-[3]MADRE!$M$64</f>
        <v>0</v>
      </c>
    </row>
    <row r="45" spans="1:8" ht="15" customHeight="1" x14ac:dyDescent="0.3">
      <c r="A45" s="12" t="s">
        <v>399</v>
      </c>
      <c r="B45" s="15"/>
      <c r="C45" s="15"/>
      <c r="D45" s="15"/>
      <c r="E45" s="15"/>
      <c r="F45" s="15"/>
      <c r="G45" s="337"/>
      <c r="H45" s="15"/>
    </row>
    <row r="46" spans="1:8" ht="51" customHeight="1" x14ac:dyDescent="0.3">
      <c r="A46" s="53"/>
      <c r="B46" s="31" t="s">
        <v>397</v>
      </c>
      <c r="C46" s="133"/>
      <c r="D46" s="133"/>
      <c r="E46" s="133"/>
      <c r="F46" s="133"/>
      <c r="G46" s="143"/>
      <c r="H46" s="133"/>
    </row>
    <row r="47" spans="1:8" ht="51" customHeight="1" thickBot="1" x14ac:dyDescent="0.35">
      <c r="A47" s="53"/>
      <c r="B47" s="116" t="s">
        <v>396</v>
      </c>
      <c r="C47" s="278"/>
      <c r="D47" s="277"/>
      <c r="E47" s="277"/>
      <c r="F47" s="277"/>
      <c r="G47" s="295"/>
      <c r="H47" s="280"/>
    </row>
    <row r="48" spans="1:8" ht="25.5" customHeight="1" thickTop="1" thickBot="1" x14ac:dyDescent="0.35">
      <c r="A48" s="53"/>
      <c r="B48" s="28" t="s">
        <v>6</v>
      </c>
      <c r="C48" s="157">
        <f t="shared" ref="C48:H48" si="9">SUM(C46:C47)</f>
        <v>0</v>
      </c>
      <c r="D48" s="157">
        <f t="shared" si="9"/>
        <v>0</v>
      </c>
      <c r="E48" s="157">
        <f t="shared" si="9"/>
        <v>0</v>
      </c>
      <c r="F48" s="157">
        <f t="shared" si="9"/>
        <v>0</v>
      </c>
      <c r="G48" s="157">
        <f t="shared" si="9"/>
        <v>0</v>
      </c>
      <c r="H48" s="157">
        <f t="shared" si="9"/>
        <v>0</v>
      </c>
    </row>
    <row r="49" spans="1:8" ht="25.5" customHeight="1" thickBot="1" x14ac:dyDescent="0.35">
      <c r="A49" s="53"/>
      <c r="B49" s="158" t="s">
        <v>215</v>
      </c>
      <c r="C49" s="159">
        <f>C48-[7]MADRE!$H$73</f>
        <v>0</v>
      </c>
      <c r="D49" s="159">
        <f>D48-[7]MADRE!$I$73</f>
        <v>0</v>
      </c>
      <c r="E49" s="159">
        <f>E48-[2]MADRE!J$67</f>
        <v>0</v>
      </c>
      <c r="F49" s="159">
        <f>F48-[2]MADRE!K$67</f>
        <v>0</v>
      </c>
      <c r="G49" s="159">
        <f>G48-[9]MADRE!$L$74</f>
        <v>0</v>
      </c>
      <c r="H49" s="159">
        <f>H48-[7]MADRE!$M$73</f>
        <v>0</v>
      </c>
    </row>
    <row r="50" spans="1:8" ht="15" customHeight="1" x14ac:dyDescent="0.3">
      <c r="A50" s="12" t="s">
        <v>346</v>
      </c>
      <c r="B50" s="15"/>
      <c r="C50" s="15"/>
      <c r="D50" s="15"/>
      <c r="E50" s="15"/>
      <c r="F50" s="15"/>
      <c r="G50" s="15"/>
      <c r="H50" s="15"/>
    </row>
    <row r="51" spans="1:8" ht="60.75" customHeight="1" x14ac:dyDescent="0.3">
      <c r="A51" s="55" t="s">
        <v>347</v>
      </c>
      <c r="B51" s="113" t="s">
        <v>349</v>
      </c>
      <c r="C51" s="154">
        <v>0</v>
      </c>
      <c r="D51" s="154">
        <v>0</v>
      </c>
      <c r="E51" s="155"/>
      <c r="F51" s="156"/>
      <c r="G51" s="355">
        <f>C51/15*10*0.25</f>
        <v>0</v>
      </c>
      <c r="H51" s="153">
        <f>C51-D51+E51+F51+G51</f>
        <v>0</v>
      </c>
    </row>
    <row r="52" spans="1:8" ht="60.75" customHeight="1" thickBot="1" x14ac:dyDescent="0.35">
      <c r="A52" s="51" t="s">
        <v>348</v>
      </c>
      <c r="B52" s="114" t="s">
        <v>20</v>
      </c>
      <c r="C52" s="164">
        <f>3855*1.04*1.05*1.05</f>
        <v>4420.1430000000009</v>
      </c>
      <c r="D52" s="164"/>
      <c r="E52" s="164">
        <v>90</v>
      </c>
      <c r="F52" s="164"/>
      <c r="G52" s="338"/>
      <c r="H52" s="196">
        <f>C52+E52+G52</f>
        <v>4510.1430000000009</v>
      </c>
    </row>
    <row r="53" spans="1:8" ht="25.5" customHeight="1" thickTop="1" thickBot="1" x14ac:dyDescent="0.35">
      <c r="A53" s="62"/>
      <c r="B53" s="37" t="s">
        <v>6</v>
      </c>
      <c r="C53" s="143">
        <f t="shared" ref="C53:H53" si="10">SUM(C52:C52)</f>
        <v>4420.1430000000009</v>
      </c>
      <c r="D53" s="143">
        <f t="shared" si="10"/>
        <v>0</v>
      </c>
      <c r="E53" s="143">
        <f t="shared" si="10"/>
        <v>90</v>
      </c>
      <c r="F53" s="143">
        <f t="shared" si="10"/>
        <v>0</v>
      </c>
      <c r="G53" s="143">
        <f t="shared" si="10"/>
        <v>0</v>
      </c>
      <c r="H53" s="143">
        <f t="shared" si="10"/>
        <v>4510.1430000000009</v>
      </c>
    </row>
    <row r="54" spans="1:8" ht="25.5" customHeight="1" thickBot="1" x14ac:dyDescent="0.35">
      <c r="A54" s="62"/>
      <c r="B54" s="136" t="s">
        <v>215</v>
      </c>
      <c r="C54" s="152">
        <f>C53-[3]MADRE!$H$79</f>
        <v>0</v>
      </c>
      <c r="D54" s="152">
        <f>D53-[3]MADRE!$I$79</f>
        <v>0</v>
      </c>
      <c r="E54" s="152">
        <f>E53-[2]MADRE!J$75</f>
        <v>0</v>
      </c>
      <c r="F54" s="152">
        <f>F53-[2]MADRE!K$75</f>
        <v>0</v>
      </c>
      <c r="G54" s="152">
        <f>G53-[3]MADRE!$L$79</f>
        <v>0</v>
      </c>
      <c r="H54" s="152">
        <f>H53-[3]MADRE!$M$79</f>
        <v>0</v>
      </c>
    </row>
    <row r="55" spans="1:8" ht="15" customHeight="1" x14ac:dyDescent="0.3">
      <c r="A55" s="12" t="s">
        <v>350</v>
      </c>
      <c r="B55" s="15"/>
      <c r="C55" s="15"/>
      <c r="D55" s="15"/>
      <c r="E55" s="15"/>
      <c r="F55" s="15"/>
      <c r="G55" s="15"/>
      <c r="H55" s="15"/>
    </row>
    <row r="56" spans="1:8" ht="51" customHeight="1" x14ac:dyDescent="0.3">
      <c r="A56" s="53"/>
      <c r="B56" s="125"/>
      <c r="C56" s="133">
        <f>7005.6*1.04-485.72-6800.1</f>
        <v>3.9999999999054126E-3</v>
      </c>
      <c r="D56" s="133">
        <f>157.5*1.04-163.8</f>
        <v>0</v>
      </c>
      <c r="E56" s="133"/>
      <c r="F56" s="133"/>
      <c r="G56" s="143"/>
      <c r="H56" s="133">
        <f>C56-D56+E56+F56+G56</f>
        <v>3.9999999999054126E-3</v>
      </c>
    </row>
    <row r="57" spans="1:8" ht="25.5" customHeight="1" thickBot="1" x14ac:dyDescent="0.35">
      <c r="A57" s="62"/>
      <c r="B57" s="37" t="s">
        <v>6</v>
      </c>
      <c r="C57" s="143">
        <f t="shared" ref="C57:H57" si="11">SUM(C56:C56)</f>
        <v>3.9999999999054126E-3</v>
      </c>
      <c r="D57" s="143">
        <f t="shared" si="11"/>
        <v>0</v>
      </c>
      <c r="E57" s="143">
        <f t="shared" si="11"/>
        <v>0</v>
      </c>
      <c r="F57" s="143">
        <f t="shared" si="11"/>
        <v>0</v>
      </c>
      <c r="G57" s="143">
        <f t="shared" si="11"/>
        <v>0</v>
      </c>
      <c r="H57" s="143">
        <f t="shared" si="11"/>
        <v>3.9999999999054126E-3</v>
      </c>
    </row>
    <row r="58" spans="1:8" ht="25.5" customHeight="1" thickBot="1" x14ac:dyDescent="0.35">
      <c r="A58" s="62"/>
      <c r="B58" s="136" t="s">
        <v>215</v>
      </c>
      <c r="C58" s="152">
        <f>C57-[10]MADRE!$H$87</f>
        <v>0</v>
      </c>
      <c r="D58" s="152">
        <f>D57-[10]MADRE!$I$87</f>
        <v>0</v>
      </c>
      <c r="E58" s="152">
        <f>E57-[11]MADRE!$J$89</f>
        <v>0</v>
      </c>
      <c r="F58" s="152">
        <f>F57-[2]MADRE!K$75</f>
        <v>0</v>
      </c>
      <c r="G58" s="152">
        <f>G57-[9]MADRE!$L$90</f>
        <v>0</v>
      </c>
      <c r="H58" s="152">
        <v>0</v>
      </c>
    </row>
    <row r="59" spans="1:8" ht="15" customHeight="1" x14ac:dyDescent="0.3">
      <c r="A59" s="12" t="s">
        <v>245</v>
      </c>
      <c r="B59" s="15"/>
      <c r="C59" s="15"/>
      <c r="D59" s="15"/>
      <c r="E59" s="15"/>
      <c r="F59" s="160"/>
      <c r="G59" s="160"/>
      <c r="H59" s="160"/>
    </row>
    <row r="60" spans="1:8" ht="51" customHeight="1" thickBot="1" x14ac:dyDescent="0.35">
      <c r="A60" s="52" t="s">
        <v>468</v>
      </c>
      <c r="B60" s="20" t="s">
        <v>469</v>
      </c>
      <c r="C60" s="141">
        <f>C64</f>
        <v>11509.570800000001</v>
      </c>
      <c r="D60" s="141">
        <v>505.65</v>
      </c>
      <c r="E60" s="141"/>
      <c r="F60" s="141"/>
      <c r="G60" s="141"/>
      <c r="H60" s="141">
        <f>C60-D60+G60</f>
        <v>11003.920800000002</v>
      </c>
    </row>
    <row r="61" spans="1:8" ht="25.5" customHeight="1" thickTop="1" thickBot="1" x14ac:dyDescent="0.35">
      <c r="A61" s="62"/>
      <c r="B61" s="37" t="s">
        <v>6</v>
      </c>
      <c r="C61" s="142">
        <f t="shared" ref="C61:G61" si="12">SUM(C60:C60)</f>
        <v>11509.570800000001</v>
      </c>
      <c r="D61" s="142">
        <f t="shared" si="12"/>
        <v>505.65</v>
      </c>
      <c r="E61" s="142">
        <f t="shared" si="12"/>
        <v>0</v>
      </c>
      <c r="F61" s="142">
        <f t="shared" si="12"/>
        <v>0</v>
      </c>
      <c r="G61" s="142">
        <f t="shared" si="12"/>
        <v>0</v>
      </c>
      <c r="H61" s="142">
        <f>SUM(H60:H60)</f>
        <v>11003.920800000002</v>
      </c>
    </row>
    <row r="62" spans="1:8" ht="25.5" customHeight="1" thickBot="1" x14ac:dyDescent="0.35">
      <c r="A62" s="62"/>
      <c r="B62" s="136" t="s">
        <v>215</v>
      </c>
      <c r="C62" s="140">
        <f>C61-[3]MADRE!$H$86</f>
        <v>0</v>
      </c>
      <c r="D62" s="140">
        <f>D61-[3]MADRE!$I$86</f>
        <v>0</v>
      </c>
      <c r="E62" s="140">
        <f>E61-[12]MADRE!$J$97</f>
        <v>0</v>
      </c>
      <c r="F62" s="140">
        <f>F61-[2]MADRE!K$90</f>
        <v>0</v>
      </c>
      <c r="G62" s="140">
        <f>G61-[3]MADRE!$L$86</f>
        <v>0</v>
      </c>
      <c r="H62" s="140">
        <f>H61-[3]MADRE!$M$86</f>
        <v>0</v>
      </c>
    </row>
    <row r="63" spans="1:8" ht="15" customHeight="1" x14ac:dyDescent="0.3">
      <c r="A63" s="12" t="s">
        <v>182</v>
      </c>
      <c r="B63" s="15"/>
      <c r="C63" s="57"/>
      <c r="D63" s="19"/>
      <c r="E63" s="19"/>
      <c r="F63" s="19"/>
      <c r="G63" s="19"/>
      <c r="H63" s="19"/>
    </row>
    <row r="64" spans="1:8" ht="51" customHeight="1" x14ac:dyDescent="0.3">
      <c r="A64" s="52" t="s">
        <v>352</v>
      </c>
      <c r="B64" s="115" t="s">
        <v>426</v>
      </c>
      <c r="C64" s="141">
        <f>10038*1.04*1.05*1.05</f>
        <v>11509.570800000001</v>
      </c>
      <c r="D64" s="141">
        <f>441*1.04*1.05*1.05</f>
        <v>505.65060000000011</v>
      </c>
      <c r="E64" s="138"/>
      <c r="F64" s="138"/>
      <c r="G64" s="138"/>
      <c r="H64" s="138">
        <f>C64-D64+E64+F64+G64</f>
        <v>11003.9202</v>
      </c>
    </row>
    <row r="65" spans="1:8" ht="51" customHeight="1" x14ac:dyDescent="0.3">
      <c r="A65" s="53" t="s">
        <v>351</v>
      </c>
      <c r="B65" s="116" t="s">
        <v>353</v>
      </c>
      <c r="C65" s="134">
        <f>6405*1.04*1.05*1.05</f>
        <v>7343.9730000000009</v>
      </c>
      <c r="D65" s="134">
        <f>175*1.04*1.05*1.05</f>
        <v>200.655</v>
      </c>
      <c r="E65" s="134"/>
      <c r="F65" s="134"/>
      <c r="G65" s="135"/>
      <c r="H65" s="134">
        <f>C65-D65+E65+F65+G65</f>
        <v>7143.3180000000011</v>
      </c>
    </row>
    <row r="66" spans="1:8" ht="51" customHeight="1" x14ac:dyDescent="0.3">
      <c r="A66" s="61" t="s">
        <v>45</v>
      </c>
      <c r="B66" s="34" t="s">
        <v>9</v>
      </c>
      <c r="C66" s="145">
        <f>4740*1.04*1.05*1.05</f>
        <v>5434.8840000000009</v>
      </c>
      <c r="D66" s="147"/>
      <c r="E66" s="147">
        <v>90</v>
      </c>
      <c r="F66" s="148"/>
      <c r="G66" s="135"/>
      <c r="H66" s="134">
        <f t="shared" ref="H66:H70" si="13">C66-D66+E66+F66+G66</f>
        <v>5524.8840000000009</v>
      </c>
    </row>
    <row r="67" spans="1:8" ht="51" customHeight="1" x14ac:dyDescent="0.3">
      <c r="A67" s="53" t="s">
        <v>310</v>
      </c>
      <c r="B67" s="30" t="s">
        <v>20</v>
      </c>
      <c r="C67" s="134">
        <f>4790*1.04*1.05*1.05</f>
        <v>5492.2140000000009</v>
      </c>
      <c r="D67" s="134"/>
      <c r="E67" s="134">
        <v>90</v>
      </c>
      <c r="F67" s="134"/>
      <c r="G67" s="135"/>
      <c r="H67" s="134">
        <f t="shared" si="13"/>
        <v>5582.2140000000009</v>
      </c>
    </row>
    <row r="68" spans="1:8" ht="51" customHeight="1" x14ac:dyDescent="0.3">
      <c r="A68" s="53" t="s">
        <v>226</v>
      </c>
      <c r="B68" s="29" t="s">
        <v>20</v>
      </c>
      <c r="C68" s="133">
        <f>4552*1.04*1.05*1.05</f>
        <v>5219.3232000000007</v>
      </c>
      <c r="D68" s="133"/>
      <c r="E68" s="133">
        <v>90</v>
      </c>
      <c r="F68" s="133"/>
      <c r="G68" s="135"/>
      <c r="H68" s="134">
        <f t="shared" si="13"/>
        <v>5309.3232000000007</v>
      </c>
    </row>
    <row r="69" spans="1:8" ht="51" customHeight="1" x14ac:dyDescent="0.3">
      <c r="A69" s="71" t="s">
        <v>15</v>
      </c>
      <c r="B69" s="121" t="s">
        <v>20</v>
      </c>
      <c r="C69" s="133">
        <f>4618*1.04*1.05*1.05</f>
        <v>5294.9988000000012</v>
      </c>
      <c r="D69" s="133"/>
      <c r="E69" s="133">
        <v>90</v>
      </c>
      <c r="F69" s="133"/>
      <c r="G69" s="135"/>
      <c r="H69" s="134">
        <f t="shared" si="13"/>
        <v>5384.9988000000012</v>
      </c>
    </row>
    <row r="70" spans="1:8" ht="51" customHeight="1" thickBot="1" x14ac:dyDescent="0.35">
      <c r="A70" s="53" t="s">
        <v>12</v>
      </c>
      <c r="B70" s="294" t="s">
        <v>427</v>
      </c>
      <c r="C70" s="280">
        <f>6928*1.04*1.05*1.05</f>
        <v>7943.6448000000009</v>
      </c>
      <c r="D70" s="280">
        <f>220*1.04*1.05*1.05</f>
        <v>252.25200000000001</v>
      </c>
      <c r="E70" s="280"/>
      <c r="F70" s="280"/>
      <c r="G70" s="342"/>
      <c r="H70" s="279">
        <f t="shared" si="13"/>
        <v>7691.3928000000005</v>
      </c>
    </row>
    <row r="71" spans="1:8" ht="25.5" customHeight="1" thickTop="1" thickBot="1" x14ac:dyDescent="0.35">
      <c r="B71" s="37" t="s">
        <v>6</v>
      </c>
      <c r="C71" s="135">
        <f>SUM(C64:C70)</f>
        <v>48238.608600000007</v>
      </c>
      <c r="D71" s="135">
        <f t="shared" ref="D71:G71" si="14">SUM(D64:D70)</f>
        <v>958.55760000000009</v>
      </c>
      <c r="E71" s="135">
        <f t="shared" si="14"/>
        <v>360</v>
      </c>
      <c r="F71" s="135">
        <f t="shared" si="14"/>
        <v>0</v>
      </c>
      <c r="G71" s="135">
        <f t="shared" si="14"/>
        <v>0</v>
      </c>
      <c r="H71" s="135">
        <f>SUM(H64:H70)</f>
        <v>47640.051000000007</v>
      </c>
    </row>
    <row r="72" spans="1:8" ht="25.5" customHeight="1" thickBot="1" x14ac:dyDescent="0.35">
      <c r="B72" s="136" t="s">
        <v>215</v>
      </c>
      <c r="C72" s="137">
        <f>C71-[5]MADRE!$H$99</f>
        <v>0</v>
      </c>
      <c r="D72" s="137">
        <f>D71-[5]MADRE!$I$99</f>
        <v>0</v>
      </c>
      <c r="E72" s="137">
        <f>E71-[11]MADRE!$J$110</f>
        <v>0</v>
      </c>
      <c r="F72" s="137">
        <f>F71-[2]MADRE!K$105</f>
        <v>0</v>
      </c>
      <c r="G72" s="137">
        <f>G71-[3]MADRE!$L$99</f>
        <v>0</v>
      </c>
      <c r="H72" s="137">
        <f>H71-[3]MADRE!$M$99</f>
        <v>0</v>
      </c>
    </row>
    <row r="73" spans="1:8" ht="15" customHeight="1" x14ac:dyDescent="0.3">
      <c r="A73" s="12" t="s">
        <v>183</v>
      </c>
      <c r="B73" s="15"/>
      <c r="C73" s="15"/>
      <c r="D73" s="15"/>
      <c r="E73" s="15"/>
      <c r="F73" s="15"/>
      <c r="G73" s="337"/>
      <c r="H73" s="15"/>
    </row>
    <row r="74" spans="1:8" ht="51" customHeight="1" thickBot="1" x14ac:dyDescent="0.35">
      <c r="A74" s="304" t="s">
        <v>438</v>
      </c>
      <c r="B74" s="323" t="s">
        <v>439</v>
      </c>
      <c r="C74" s="298">
        <f>5000*1.05</f>
        <v>5250</v>
      </c>
      <c r="D74" s="298"/>
      <c r="E74" s="133"/>
      <c r="F74" s="133"/>
      <c r="G74" s="143"/>
      <c r="H74" s="151">
        <f>C74-D74+G74</f>
        <v>5250</v>
      </c>
    </row>
    <row r="75" spans="1:8" ht="25.5" customHeight="1" thickTop="1" thickBot="1" x14ac:dyDescent="0.35">
      <c r="B75" s="37" t="s">
        <v>6</v>
      </c>
      <c r="C75" s="142">
        <f>SUM(C74:C74)</f>
        <v>5250</v>
      </c>
      <c r="D75" s="142">
        <f>SUM(D74:D74)</f>
        <v>0</v>
      </c>
      <c r="E75" s="142">
        <f t="shared" ref="E75:G75" si="15">SUM(E74:E74)</f>
        <v>0</v>
      </c>
      <c r="F75" s="142">
        <f t="shared" si="15"/>
        <v>0</v>
      </c>
      <c r="G75" s="142">
        <f t="shared" si="15"/>
        <v>0</v>
      </c>
      <c r="H75" s="142">
        <f>SUM(H74:H74)</f>
        <v>5250</v>
      </c>
    </row>
    <row r="76" spans="1:8" ht="25.5" customHeight="1" thickBot="1" x14ac:dyDescent="0.35">
      <c r="B76" s="136" t="s">
        <v>215</v>
      </c>
      <c r="C76" s="137">
        <f>C75-[5]MADRE!$H$106</f>
        <v>0</v>
      </c>
      <c r="D76" s="137">
        <f>D75-[13]MADRE!$I$113</f>
        <v>0</v>
      </c>
      <c r="E76" s="137">
        <f>E75-[2]MADRE!J$113</f>
        <v>0</v>
      </c>
      <c r="F76" s="137">
        <f>F75-[2]MADRE!K$113</f>
        <v>0</v>
      </c>
      <c r="G76" s="137">
        <f>G75-[3]MADRE!$L$106</f>
        <v>0</v>
      </c>
      <c r="H76" s="137">
        <f>H75-[3]MADRE!$M$106</f>
        <v>0</v>
      </c>
    </row>
    <row r="77" spans="1:8" ht="15" customHeight="1" x14ac:dyDescent="0.3">
      <c r="A77" s="12" t="s">
        <v>402</v>
      </c>
      <c r="B77" s="15"/>
      <c r="C77" s="15"/>
      <c r="D77" s="15" t="s">
        <v>320</v>
      </c>
      <c r="E77" s="15"/>
      <c r="F77" s="15"/>
      <c r="G77" s="15"/>
      <c r="H77" s="15"/>
    </row>
    <row r="78" spans="1:8" ht="10.5" customHeight="1" x14ac:dyDescent="0.3">
      <c r="A78" s="63"/>
      <c r="B78" s="18"/>
      <c r="C78" s="138"/>
      <c r="D78" s="138"/>
      <c r="E78" s="138"/>
      <c r="F78" s="138"/>
      <c r="G78" s="138"/>
      <c r="H78" s="138"/>
    </row>
    <row r="79" spans="1:8" ht="51" customHeight="1" x14ac:dyDescent="0.3">
      <c r="A79" s="52" t="s">
        <v>354</v>
      </c>
      <c r="B79" s="115" t="s">
        <v>289</v>
      </c>
      <c r="C79" s="141">
        <f>10038*1.04*1.05*1.05</f>
        <v>11509.570800000001</v>
      </c>
      <c r="D79" s="141">
        <f>441*1.04*1.05*1.05</f>
        <v>505.65060000000011</v>
      </c>
      <c r="E79" s="138"/>
      <c r="F79" s="138"/>
      <c r="G79" s="138"/>
      <c r="H79" s="141">
        <f>C79-D79+G79</f>
        <v>11003.9202</v>
      </c>
    </row>
    <row r="80" spans="1:8" ht="51.75" customHeight="1" x14ac:dyDescent="0.3">
      <c r="A80" s="53" t="s">
        <v>407</v>
      </c>
      <c r="B80" s="114" t="s">
        <v>445</v>
      </c>
      <c r="C80" s="133">
        <f>3800*1.05*1.05</f>
        <v>4189.5</v>
      </c>
      <c r="G80" s="135"/>
      <c r="H80" s="133">
        <f>C80-D80+E80+G80</f>
        <v>4189.5</v>
      </c>
    </row>
    <row r="81" spans="1:8" ht="51" customHeight="1" x14ac:dyDescent="0.3">
      <c r="A81" s="51" t="s">
        <v>95</v>
      </c>
      <c r="B81" s="21" t="s">
        <v>90</v>
      </c>
      <c r="C81" s="133">
        <f>4415*1.05*1.05*1.05</f>
        <v>5110.9143750000003</v>
      </c>
      <c r="D81" s="133"/>
      <c r="E81" s="133">
        <v>90</v>
      </c>
      <c r="F81" s="133"/>
      <c r="G81" s="135"/>
      <c r="H81" s="133">
        <f>C81-D81+E81+G81</f>
        <v>5200.9143750000003</v>
      </c>
    </row>
    <row r="82" spans="1:8" ht="51" customHeight="1" x14ac:dyDescent="0.3">
      <c r="A82" s="51" t="s">
        <v>421</v>
      </c>
      <c r="B82" s="123" t="s">
        <v>422</v>
      </c>
      <c r="C82" s="133">
        <f>2000*1.05*1.05</f>
        <v>2205</v>
      </c>
      <c r="D82" s="133"/>
      <c r="E82" s="133">
        <v>167</v>
      </c>
      <c r="F82" s="133"/>
      <c r="G82" s="135"/>
      <c r="H82" s="133">
        <f>C82-D82+E82+G82</f>
        <v>2372</v>
      </c>
    </row>
    <row r="83" spans="1:8" ht="51" customHeight="1" thickBot="1" x14ac:dyDescent="0.35">
      <c r="A83" s="51" t="s">
        <v>46</v>
      </c>
      <c r="B83" s="34" t="s">
        <v>25</v>
      </c>
      <c r="C83" s="196">
        <f>2756*1.05*1.05*1.05</f>
        <v>3190.4145000000003</v>
      </c>
      <c r="D83" s="196"/>
      <c r="E83" s="164">
        <v>167</v>
      </c>
      <c r="F83" s="196"/>
      <c r="G83" s="365"/>
      <c r="H83" s="163">
        <f>C83-D83+E83+G83</f>
        <v>3357.4145000000003</v>
      </c>
    </row>
    <row r="84" spans="1:8" ht="25.5" customHeight="1" thickTop="1" thickBot="1" x14ac:dyDescent="0.35">
      <c r="B84" s="37" t="s">
        <v>6</v>
      </c>
      <c r="C84" s="135">
        <f>SUM(C79:C83)</f>
        <v>26205.399675000001</v>
      </c>
      <c r="D84" s="135">
        <f t="shared" ref="D84:G84" si="16">SUM(D79:D83)</f>
        <v>505.65060000000011</v>
      </c>
      <c r="E84" s="135">
        <f t="shared" si="16"/>
        <v>424</v>
      </c>
      <c r="F84" s="135">
        <f t="shared" si="16"/>
        <v>0</v>
      </c>
      <c r="G84" s="135">
        <f t="shared" si="16"/>
        <v>0</v>
      </c>
      <c r="H84" s="135">
        <f>SUM(H79:H83)</f>
        <v>26123.749075</v>
      </c>
    </row>
    <row r="85" spans="1:8" ht="25.5" customHeight="1" x14ac:dyDescent="0.3">
      <c r="B85" s="139" t="s">
        <v>215</v>
      </c>
      <c r="C85" s="140">
        <f>C84-[5]MADRE!$H$118</f>
        <v>0</v>
      </c>
      <c r="D85" s="140">
        <f>D84-[5]MADRE!$I$118</f>
        <v>0</v>
      </c>
      <c r="E85" s="140">
        <f>E84-[14]MADRE!$J$129</f>
        <v>0</v>
      </c>
      <c r="F85" s="140">
        <f>F84-[2]MADRE!K$124</f>
        <v>0</v>
      </c>
      <c r="G85" s="140">
        <f>G84-[3]MADRE!$L$118</f>
        <v>0</v>
      </c>
      <c r="H85" s="140">
        <f>H84-[3]MADRE!$M$118</f>
        <v>0</v>
      </c>
    </row>
    <row r="86" spans="1:8" ht="15" customHeight="1" x14ac:dyDescent="0.3">
      <c r="A86" s="59" t="s">
        <v>184</v>
      </c>
      <c r="B86" s="19"/>
      <c r="C86" s="19"/>
      <c r="D86" s="19"/>
      <c r="E86" s="19"/>
      <c r="F86" s="19"/>
      <c r="G86" s="364"/>
      <c r="H86" s="19"/>
    </row>
    <row r="87" spans="1:8" ht="64.5" customHeight="1" x14ac:dyDescent="0.3">
      <c r="A87" s="53" t="s">
        <v>416</v>
      </c>
      <c r="B87" s="35" t="s">
        <v>432</v>
      </c>
      <c r="C87" s="133">
        <f>6150*1.05</f>
        <v>6457.5</v>
      </c>
      <c r="D87" s="133">
        <v>162.07</v>
      </c>
      <c r="E87" s="134"/>
      <c r="F87" s="134"/>
      <c r="G87" s="135"/>
      <c r="H87" s="134">
        <f>C87-D87+E87+F87+G87</f>
        <v>6295.43</v>
      </c>
    </row>
    <row r="88" spans="1:8" ht="51" customHeight="1" x14ac:dyDescent="0.3">
      <c r="A88" s="53" t="s">
        <v>26</v>
      </c>
      <c r="B88" s="35" t="s">
        <v>27</v>
      </c>
      <c r="C88" s="186">
        <f>5765*1.04*1.05*1.05</f>
        <v>6610.1490000000013</v>
      </c>
      <c r="D88" s="134">
        <f>299*1.04*1.05*1.05</f>
        <v>342.83340000000004</v>
      </c>
      <c r="E88" s="134"/>
      <c r="F88" s="134"/>
      <c r="G88" s="135"/>
      <c r="H88" s="134">
        <f t="shared" ref="H88:H92" si="17">C88-D88+E88+F88+G88</f>
        <v>6267.3156000000008</v>
      </c>
    </row>
    <row r="89" spans="1:8" ht="51" customHeight="1" x14ac:dyDescent="0.3">
      <c r="A89" s="53" t="s">
        <v>316</v>
      </c>
      <c r="B89" s="130" t="s">
        <v>311</v>
      </c>
      <c r="C89" s="186">
        <f>4310*1.04*1.05*1.05</f>
        <v>4941.8460000000005</v>
      </c>
      <c r="D89" s="134"/>
      <c r="E89" s="134">
        <v>90</v>
      </c>
      <c r="F89" s="134"/>
      <c r="G89" s="135"/>
      <c r="H89" s="134">
        <f t="shared" si="17"/>
        <v>5031.8460000000005</v>
      </c>
    </row>
    <row r="90" spans="1:8" ht="51" customHeight="1" x14ac:dyDescent="0.3">
      <c r="A90" s="53" t="s">
        <v>321</v>
      </c>
      <c r="B90" s="219" t="s">
        <v>322</v>
      </c>
      <c r="C90" s="186">
        <f>4310*1.04*1.05*1.05</f>
        <v>4941.8460000000005</v>
      </c>
      <c r="D90" s="134"/>
      <c r="E90" s="134">
        <v>90</v>
      </c>
      <c r="F90" s="134"/>
      <c r="G90" s="135"/>
      <c r="H90" s="134">
        <f t="shared" si="17"/>
        <v>5031.8460000000005</v>
      </c>
    </row>
    <row r="91" spans="1:8" ht="51" customHeight="1" x14ac:dyDescent="0.3">
      <c r="A91" s="51" t="s">
        <v>382</v>
      </c>
      <c r="B91" s="111" t="s">
        <v>383</v>
      </c>
      <c r="C91" s="133">
        <f>3465*1.05*1.05</f>
        <v>3820.1625000000004</v>
      </c>
      <c r="D91" s="134"/>
      <c r="E91" s="134">
        <v>90</v>
      </c>
      <c r="F91" s="134"/>
      <c r="G91" s="135"/>
      <c r="H91" s="134">
        <f t="shared" si="17"/>
        <v>3910.1625000000004</v>
      </c>
    </row>
    <row r="92" spans="1:8" ht="51" customHeight="1" thickBot="1" x14ac:dyDescent="0.35">
      <c r="A92" s="53" t="s">
        <v>389</v>
      </c>
      <c r="B92" s="288" t="s">
        <v>311</v>
      </c>
      <c r="C92" s="278">
        <f>4310*1.04*1.05*1.05</f>
        <v>4941.8460000000005</v>
      </c>
      <c r="D92" s="134"/>
      <c r="E92" s="134">
        <v>90</v>
      </c>
      <c r="F92" s="134"/>
      <c r="G92" s="135"/>
      <c r="H92" s="134">
        <f t="shared" si="17"/>
        <v>5031.8460000000005</v>
      </c>
    </row>
    <row r="93" spans="1:8" ht="25.5" customHeight="1" thickTop="1" thickBot="1" x14ac:dyDescent="0.35">
      <c r="A93" s="65"/>
      <c r="B93" s="37" t="s">
        <v>6</v>
      </c>
      <c r="C93" s="142">
        <f>SUM(C87:C92)</f>
        <v>31713.349500000008</v>
      </c>
      <c r="D93" s="142">
        <f>SUM(D87:D92)</f>
        <v>504.90340000000003</v>
      </c>
      <c r="E93" s="142">
        <f>SUM(E87:E92)</f>
        <v>360</v>
      </c>
      <c r="F93" s="142">
        <f t="shared" ref="F93:G93" si="18">SUM(F87:F92)</f>
        <v>0</v>
      </c>
      <c r="G93" s="142">
        <f t="shared" si="18"/>
        <v>0</v>
      </c>
      <c r="H93" s="142">
        <f>SUM(H87:H92)</f>
        <v>31568.446100000005</v>
      </c>
    </row>
    <row r="94" spans="1:8" ht="25.5" customHeight="1" thickBot="1" x14ac:dyDescent="0.35">
      <c r="A94" s="65"/>
      <c r="B94" s="136" t="s">
        <v>215</v>
      </c>
      <c r="C94" s="152">
        <f>C93-[5]MADRE!$H$130</f>
        <v>0</v>
      </c>
      <c r="D94" s="152">
        <f>D93-[5]MADRE!$I$130</f>
        <v>0</v>
      </c>
      <c r="E94" s="152">
        <f>E93-[15]MADRE!$J$141</f>
        <v>0</v>
      </c>
      <c r="F94" s="152">
        <f>F93-[2]MADRE!K$135</f>
        <v>0</v>
      </c>
      <c r="G94" s="152">
        <f>G93-[3]MADRE!$L$130</f>
        <v>0</v>
      </c>
      <c r="H94" s="152">
        <f>H93-[3]MADRE!$M$130</f>
        <v>0</v>
      </c>
    </row>
    <row r="95" spans="1:8" ht="15" customHeight="1" x14ac:dyDescent="0.3">
      <c r="A95" s="39" t="s">
        <v>288</v>
      </c>
      <c r="B95" s="17"/>
      <c r="C95" s="15"/>
      <c r="D95" s="15"/>
      <c r="E95" s="15"/>
      <c r="F95" s="15"/>
      <c r="G95" s="337"/>
      <c r="H95" s="15"/>
    </row>
    <row r="96" spans="1:8" ht="60.75" customHeight="1" x14ac:dyDescent="0.3">
      <c r="A96" s="51" t="s">
        <v>380</v>
      </c>
      <c r="B96" s="22" t="s">
        <v>391</v>
      </c>
      <c r="C96" s="133">
        <f>3969*1.04*1.05*1.05</f>
        <v>4550.8554000000004</v>
      </c>
      <c r="D96" s="133"/>
      <c r="E96" s="133">
        <v>140</v>
      </c>
      <c r="F96" s="133"/>
      <c r="G96" s="135"/>
      <c r="H96" s="133">
        <f>C96-D96+E96+F96+G96</f>
        <v>4690.8554000000004</v>
      </c>
    </row>
    <row r="97" spans="1:8" ht="51" customHeight="1" x14ac:dyDescent="0.3">
      <c r="A97" s="66" t="s">
        <v>68</v>
      </c>
      <c r="B97" s="10" t="s">
        <v>73</v>
      </c>
      <c r="C97" s="133">
        <f>6118*1.04*1.05*1.05</f>
        <v>7014.8988000000008</v>
      </c>
      <c r="D97" s="133">
        <f>456*1.04*1.05*1.05</f>
        <v>522.84960000000012</v>
      </c>
      <c r="E97" s="133"/>
      <c r="F97" s="165"/>
      <c r="G97" s="135"/>
      <c r="H97" s="133">
        <f t="shared" ref="H97:H101" si="19">C97-D97+E97+F97+G97</f>
        <v>6492.0492000000004</v>
      </c>
    </row>
    <row r="98" spans="1:8" ht="51" customHeight="1" x14ac:dyDescent="0.3">
      <c r="A98" s="82" t="s">
        <v>69</v>
      </c>
      <c r="B98" s="116" t="s">
        <v>73</v>
      </c>
      <c r="C98" s="166">
        <f>6468*1.04*1.05*1.05</f>
        <v>7416.2088000000012</v>
      </c>
      <c r="D98" s="133">
        <f>456*1.04*1.05*1.05</f>
        <v>522.84960000000012</v>
      </c>
      <c r="E98" s="149"/>
      <c r="F98" s="166"/>
      <c r="G98" s="135"/>
      <c r="H98" s="133">
        <f t="shared" si="19"/>
        <v>6893.3592000000008</v>
      </c>
    </row>
    <row r="99" spans="1:8" ht="51" customHeight="1" x14ac:dyDescent="0.3">
      <c r="A99" s="307" t="s">
        <v>70</v>
      </c>
      <c r="B99" s="128" t="s">
        <v>73</v>
      </c>
      <c r="C99" s="168">
        <f>6228*1.04*1.05*1.05</f>
        <v>7141.0248000000011</v>
      </c>
      <c r="D99" s="133">
        <f>456*1.04*1.05*1.05</f>
        <v>522.84960000000012</v>
      </c>
      <c r="E99" s="169"/>
      <c r="F99" s="168"/>
      <c r="G99" s="135"/>
      <c r="H99" s="133">
        <f t="shared" si="19"/>
        <v>6618.1752000000006</v>
      </c>
    </row>
    <row r="100" spans="1:8" ht="51" customHeight="1" x14ac:dyDescent="0.3">
      <c r="A100" s="67" t="s">
        <v>71</v>
      </c>
      <c r="B100" s="172" t="s">
        <v>74</v>
      </c>
      <c r="C100" s="173">
        <f>4811.2*1.05*1.05</f>
        <v>5304.3480000000009</v>
      </c>
      <c r="D100" s="174"/>
      <c r="E100" s="175">
        <v>90</v>
      </c>
      <c r="F100" s="176"/>
      <c r="G100" s="135"/>
      <c r="H100" s="133">
        <f t="shared" si="19"/>
        <v>5394.3480000000009</v>
      </c>
    </row>
    <row r="101" spans="1:8" ht="51" customHeight="1" thickBot="1" x14ac:dyDescent="0.35">
      <c r="A101" s="67" t="s">
        <v>72</v>
      </c>
      <c r="B101" s="10" t="s">
        <v>73</v>
      </c>
      <c r="C101" s="133">
        <f>5997*1.04*1.05*1.05</f>
        <v>6876.1602000000003</v>
      </c>
      <c r="D101" s="133">
        <f>456*1.04*1.05*1.05</f>
        <v>522.84960000000012</v>
      </c>
      <c r="E101" s="176"/>
      <c r="F101" s="176"/>
      <c r="G101" s="135"/>
      <c r="H101" s="133">
        <f t="shared" si="19"/>
        <v>6353.3105999999998</v>
      </c>
    </row>
    <row r="102" spans="1:8" ht="25.5" customHeight="1" thickTop="1" x14ac:dyDescent="0.3">
      <c r="B102" s="37" t="s">
        <v>6</v>
      </c>
      <c r="C102" s="142">
        <f t="shared" ref="C102:G102" si="20">SUM(C96:C101)</f>
        <v>38303.496000000006</v>
      </c>
      <c r="D102" s="142">
        <f t="shared" si="20"/>
        <v>2091.3984000000005</v>
      </c>
      <c r="E102" s="142">
        <f t="shared" si="20"/>
        <v>230</v>
      </c>
      <c r="F102" s="142">
        <f t="shared" si="20"/>
        <v>0</v>
      </c>
      <c r="G102" s="142">
        <f t="shared" si="20"/>
        <v>0</v>
      </c>
      <c r="H102" s="142">
        <f>SUM(H96:H101)</f>
        <v>36442.097600000001</v>
      </c>
    </row>
    <row r="103" spans="1:8" ht="25.5" customHeight="1" thickBot="1" x14ac:dyDescent="0.35">
      <c r="B103" s="177" t="s">
        <v>215</v>
      </c>
      <c r="C103" s="178">
        <f>C102-[16]MADRE!$H$142</f>
        <v>0</v>
      </c>
      <c r="D103" s="178">
        <f>D102-[16]MADRE!$I$142</f>
        <v>0</v>
      </c>
      <c r="E103" s="178">
        <f>E102-[15]MADRE!$J$154</f>
        <v>0</v>
      </c>
      <c r="F103" s="178">
        <f>F102-[2]MADRE!K$147</f>
        <v>0</v>
      </c>
      <c r="G103" s="178">
        <f>G102-[3]MADRE!$L$142</f>
        <v>0</v>
      </c>
      <c r="H103" s="178">
        <f>H102-[3]MADRE!$M$142</f>
        <v>0</v>
      </c>
    </row>
    <row r="104" spans="1:8" ht="15" customHeight="1" x14ac:dyDescent="0.3">
      <c r="A104" s="12" t="s">
        <v>185</v>
      </c>
      <c r="B104" s="17"/>
      <c r="C104" s="15"/>
      <c r="D104" s="15"/>
      <c r="E104" s="15"/>
      <c r="F104" s="15"/>
      <c r="G104" s="337"/>
      <c r="H104" s="15"/>
    </row>
    <row r="105" spans="1:8" ht="51" customHeight="1" x14ac:dyDescent="0.3">
      <c r="A105" s="54" t="s">
        <v>454</v>
      </c>
      <c r="B105" s="333" t="s">
        <v>469</v>
      </c>
      <c r="C105" s="359">
        <f>3800*1.08</f>
        <v>4104</v>
      </c>
      <c r="D105" s="141"/>
      <c r="E105" s="141"/>
      <c r="F105" s="141"/>
      <c r="G105" s="141"/>
      <c r="H105" s="141">
        <f>C105+G105</f>
        <v>4104</v>
      </c>
    </row>
    <row r="106" spans="1:8" ht="45" customHeight="1" thickBot="1" x14ac:dyDescent="0.35">
      <c r="A106" s="51" t="s">
        <v>388</v>
      </c>
      <c r="B106" s="22" t="s">
        <v>411</v>
      </c>
      <c r="C106" s="280">
        <f>2400*1.04*1.05*1.05</f>
        <v>2751.84</v>
      </c>
      <c r="D106" s="302"/>
      <c r="E106" s="302"/>
      <c r="F106" s="361"/>
      <c r="G106" s="342"/>
      <c r="H106" s="277">
        <f>C106-D106+E106+G106</f>
        <v>2751.84</v>
      </c>
    </row>
    <row r="107" spans="1:8" ht="25.5" customHeight="1" thickTop="1" thickBot="1" x14ac:dyDescent="0.35">
      <c r="B107" s="37" t="s">
        <v>6</v>
      </c>
      <c r="C107" s="135">
        <f>SUM(C105:C106)</f>
        <v>6855.84</v>
      </c>
      <c r="D107" s="135">
        <f t="shared" ref="D107:G107" si="21">SUM(D105:D106)</f>
        <v>0</v>
      </c>
      <c r="E107" s="135">
        <f t="shared" si="21"/>
        <v>0</v>
      </c>
      <c r="F107" s="135">
        <f t="shared" si="21"/>
        <v>0</v>
      </c>
      <c r="G107" s="135">
        <f t="shared" si="21"/>
        <v>0</v>
      </c>
      <c r="H107" s="135">
        <f>SUM(H105:H106)</f>
        <v>6855.84</v>
      </c>
    </row>
    <row r="108" spans="1:8" ht="25.5" customHeight="1" thickBot="1" x14ac:dyDescent="0.35">
      <c r="B108" s="136" t="s">
        <v>215</v>
      </c>
      <c r="C108" s="137">
        <f>C107-[16]MADRE!$H$150</f>
        <v>0</v>
      </c>
      <c r="D108" s="137">
        <f>D107-[16]MADRE!$I$150</f>
        <v>0</v>
      </c>
      <c r="E108" s="137">
        <f>E107-[2]MADRE!J$155</f>
        <v>0</v>
      </c>
      <c r="F108" s="137">
        <f>F107-[2]MADRE!K$155</f>
        <v>0</v>
      </c>
      <c r="G108" s="137">
        <f>G107+[3]MADRE!$L$150</f>
        <v>0</v>
      </c>
      <c r="H108" s="137">
        <f>H107-[3]MADRE!$M$150</f>
        <v>0</v>
      </c>
    </row>
    <row r="109" spans="1:8" ht="15" customHeight="1" x14ac:dyDescent="0.3">
      <c r="A109" s="39" t="s">
        <v>425</v>
      </c>
      <c r="B109" s="15"/>
      <c r="C109" s="15"/>
      <c r="D109" s="15"/>
      <c r="E109" s="15"/>
      <c r="F109" s="15"/>
      <c r="G109" s="337"/>
      <c r="H109" s="15"/>
    </row>
    <row r="110" spans="1:8" ht="51" customHeight="1" x14ac:dyDescent="0.3">
      <c r="A110" s="52" t="s">
        <v>355</v>
      </c>
      <c r="B110" s="115" t="s">
        <v>289</v>
      </c>
      <c r="C110" s="141">
        <f>10038*1.04*1.05*1.05</f>
        <v>11509.570800000001</v>
      </c>
      <c r="D110" s="141">
        <f>441*1.04*1.05*1.05</f>
        <v>505.65060000000011</v>
      </c>
      <c r="E110" s="141"/>
      <c r="F110" s="141"/>
      <c r="G110" s="141"/>
      <c r="H110" s="141">
        <f>C110-D110+E110+G110</f>
        <v>11003.9202</v>
      </c>
    </row>
    <row r="111" spans="1:8" ht="51" customHeight="1" thickBot="1" x14ac:dyDescent="0.35">
      <c r="A111" s="53" t="s">
        <v>390</v>
      </c>
      <c r="B111" s="9" t="s">
        <v>246</v>
      </c>
      <c r="C111" s="277">
        <f>5410*1.05</f>
        <v>5680.5</v>
      </c>
      <c r="D111" s="277"/>
      <c r="E111" s="277">
        <v>90</v>
      </c>
      <c r="F111" s="277"/>
      <c r="G111" s="342"/>
      <c r="H111" s="277">
        <f>C111-D111+E111+G111</f>
        <v>5770.5</v>
      </c>
    </row>
    <row r="112" spans="1:8" ht="25.5" customHeight="1" thickTop="1" thickBot="1" x14ac:dyDescent="0.35">
      <c r="B112" s="37" t="s">
        <v>6</v>
      </c>
      <c r="C112" s="135">
        <f t="shared" ref="C112:G112" si="22">SUM(C110:C111)</f>
        <v>17190.070800000001</v>
      </c>
      <c r="D112" s="135">
        <f t="shared" si="22"/>
        <v>505.65060000000011</v>
      </c>
      <c r="E112" s="135">
        <f t="shared" si="22"/>
        <v>90</v>
      </c>
      <c r="F112" s="135">
        <f t="shared" si="22"/>
        <v>0</v>
      </c>
      <c r="G112" s="135">
        <f t="shared" si="22"/>
        <v>0</v>
      </c>
      <c r="H112" s="135">
        <f>SUM(H110:H111)</f>
        <v>16774.4202</v>
      </c>
    </row>
    <row r="113" spans="1:8" ht="25.5" customHeight="1" thickBot="1" x14ac:dyDescent="0.35">
      <c r="B113" s="136" t="s">
        <v>215</v>
      </c>
      <c r="C113" s="137">
        <f>C112-[5]MADRE!$H$159</f>
        <v>0</v>
      </c>
      <c r="D113" s="137">
        <f>D112-[5]MADRE!$I$159</f>
        <v>0</v>
      </c>
      <c r="E113" s="137">
        <f>E112-[17]MADRE!$J$163</f>
        <v>0</v>
      </c>
      <c r="F113" s="137">
        <f>F112-[2]MADRE!K$162</f>
        <v>0</v>
      </c>
      <c r="G113" s="137">
        <f>G112-[3]MADRE!$L$150</f>
        <v>0</v>
      </c>
      <c r="H113" s="137">
        <f>H112-[3]MADRE!$M$158</f>
        <v>0</v>
      </c>
    </row>
    <row r="114" spans="1:8" s="2" customFormat="1" ht="15" customHeight="1" x14ac:dyDescent="0.3">
      <c r="A114" s="12" t="s">
        <v>287</v>
      </c>
      <c r="B114" s="17"/>
      <c r="C114" s="17"/>
      <c r="D114" s="17"/>
      <c r="E114" s="17"/>
      <c r="F114" s="17"/>
      <c r="G114" s="363"/>
      <c r="H114" s="17"/>
    </row>
    <row r="115" spans="1:8" s="2" customFormat="1" ht="51" customHeight="1" thickBot="1" x14ac:dyDescent="0.35">
      <c r="A115" s="52" t="s">
        <v>356</v>
      </c>
      <c r="B115" s="20" t="s">
        <v>349</v>
      </c>
      <c r="C115" s="141">
        <f>7005*1.04*1.05*1.05</f>
        <v>8031.933</v>
      </c>
      <c r="D115" s="141">
        <f>157*1.04*1.05*1.05</f>
        <v>180.01620000000003</v>
      </c>
      <c r="E115" s="179"/>
      <c r="F115" s="179"/>
      <c r="G115" s="179"/>
      <c r="H115" s="141">
        <f>C115-D115+G115</f>
        <v>7851.9168</v>
      </c>
    </row>
    <row r="116" spans="1:8" ht="25.5" customHeight="1" thickTop="1" thickBot="1" x14ac:dyDescent="0.35">
      <c r="A116" s="41"/>
      <c r="B116" s="37" t="s">
        <v>6</v>
      </c>
      <c r="C116" s="142">
        <f t="shared" ref="C116:G116" si="23">SUM(C115:C115)</f>
        <v>8031.933</v>
      </c>
      <c r="D116" s="142">
        <f t="shared" si="23"/>
        <v>180.01620000000003</v>
      </c>
      <c r="E116" s="142">
        <f t="shared" si="23"/>
        <v>0</v>
      </c>
      <c r="F116" s="142">
        <f t="shared" si="23"/>
        <v>0</v>
      </c>
      <c r="G116" s="142">
        <f t="shared" si="23"/>
        <v>0</v>
      </c>
      <c r="H116" s="142">
        <f>SUM(H115:H115)</f>
        <v>7851.9168</v>
      </c>
    </row>
    <row r="117" spans="1:8" ht="25.5" customHeight="1" x14ac:dyDescent="0.3">
      <c r="A117" s="41"/>
      <c r="B117" s="139" t="s">
        <v>215</v>
      </c>
      <c r="C117" s="140">
        <f>C116-[5]MADRE!$H$166</f>
        <v>0</v>
      </c>
      <c r="D117" s="140">
        <f>D116-[5]MADRE!$I$166</f>
        <v>0</v>
      </c>
      <c r="E117" s="140">
        <f>E116-[18]MADRE!$J$177</f>
        <v>0</v>
      </c>
      <c r="F117" s="140">
        <f>F116-[2]MADRE!K$170</f>
        <v>0</v>
      </c>
      <c r="G117" s="140">
        <f>G116-[3]MADRE!$L$165</f>
        <v>0</v>
      </c>
      <c r="H117" s="140">
        <f>H116-[3]MADRE!$M$165</f>
        <v>0</v>
      </c>
    </row>
    <row r="118" spans="1:8" ht="15" customHeight="1" x14ac:dyDescent="0.3">
      <c r="A118" s="12" t="s">
        <v>186</v>
      </c>
      <c r="B118" s="19"/>
      <c r="C118" s="19"/>
      <c r="D118" s="19"/>
      <c r="E118" s="19"/>
      <c r="F118" s="19"/>
      <c r="G118" s="364"/>
      <c r="H118" s="19"/>
    </row>
    <row r="119" spans="1:8" ht="51" customHeight="1" thickBot="1" x14ac:dyDescent="0.35">
      <c r="A119" s="56"/>
      <c r="B119" s="18"/>
      <c r="C119" s="141"/>
      <c r="D119" s="141"/>
      <c r="E119" s="141"/>
      <c r="F119" s="141"/>
      <c r="G119" s="141"/>
      <c r="H119" s="141">
        <f>C119-D119</f>
        <v>0</v>
      </c>
    </row>
    <row r="120" spans="1:8" ht="25.5" customHeight="1" thickTop="1" thickBot="1" x14ac:dyDescent="0.35">
      <c r="B120" s="37" t="s">
        <v>6</v>
      </c>
      <c r="C120" s="142">
        <f t="shared" ref="C120:H120" si="24">SUM(C119)</f>
        <v>0</v>
      </c>
      <c r="D120" s="142">
        <f t="shared" si="24"/>
        <v>0</v>
      </c>
      <c r="E120" s="142">
        <f t="shared" si="24"/>
        <v>0</v>
      </c>
      <c r="F120" s="142">
        <f t="shared" si="24"/>
        <v>0</v>
      </c>
      <c r="G120" s="142">
        <f t="shared" si="24"/>
        <v>0</v>
      </c>
      <c r="H120" s="142">
        <f t="shared" si="24"/>
        <v>0</v>
      </c>
    </row>
    <row r="121" spans="1:8" ht="25.5" customHeight="1" thickBot="1" x14ac:dyDescent="0.35">
      <c r="B121" s="136" t="s">
        <v>215</v>
      </c>
      <c r="C121" s="137">
        <f>C120-[19]MADRE!$H$184</f>
        <v>0</v>
      </c>
      <c r="D121" s="137">
        <f>D120-[19]MADRE!$I$184</f>
        <v>0</v>
      </c>
      <c r="E121" s="137">
        <f>E120-[2]MADRE!J$177</f>
        <v>0</v>
      </c>
      <c r="F121" s="137">
        <f>F120-[2]MADRE!K$177</f>
        <v>0</v>
      </c>
      <c r="G121" s="137">
        <f>G120-[2]MADRE!L$177</f>
        <v>0</v>
      </c>
      <c r="H121" s="137">
        <f>H120-[19]MADRE!$M$184</f>
        <v>0</v>
      </c>
    </row>
    <row r="122" spans="1:8" ht="15" customHeight="1" x14ac:dyDescent="0.3">
      <c r="A122" s="12" t="s">
        <v>403</v>
      </c>
      <c r="B122" s="15"/>
      <c r="C122" s="15"/>
      <c r="D122" s="15"/>
      <c r="E122" s="15"/>
      <c r="F122" s="15"/>
      <c r="G122" s="337"/>
      <c r="H122" s="15"/>
    </row>
    <row r="123" spans="1:8" ht="53.25" customHeight="1" x14ac:dyDescent="0.3">
      <c r="A123" s="68" t="s">
        <v>392</v>
      </c>
      <c r="B123" s="115" t="s">
        <v>426</v>
      </c>
      <c r="C123" s="141">
        <f>10038*1.04*1.05*1.05</f>
        <v>11509.570800000001</v>
      </c>
      <c r="D123" s="141">
        <f>441*1.04*1.05*1.05</f>
        <v>505.65060000000011</v>
      </c>
      <c r="E123" s="26"/>
      <c r="F123" s="26"/>
      <c r="G123" s="26"/>
      <c r="H123" s="141">
        <f>C123-D123+G123</f>
        <v>11003.9202</v>
      </c>
    </row>
    <row r="124" spans="1:8" ht="51" customHeight="1" x14ac:dyDescent="0.3">
      <c r="A124" s="53" t="s">
        <v>32</v>
      </c>
      <c r="B124" s="9" t="s">
        <v>9</v>
      </c>
      <c r="C124" s="133">
        <f>6961*1.04*1.05*1.05</f>
        <v>7981.4826000000012</v>
      </c>
      <c r="D124" s="180">
        <f>362*1.04*1.05*1.05</f>
        <v>415.06920000000002</v>
      </c>
      <c r="E124" s="180"/>
      <c r="F124" s="180"/>
      <c r="G124" s="339"/>
      <c r="H124" s="133">
        <f>C124-D124+E124+F124+G124</f>
        <v>7566.4134000000013</v>
      </c>
    </row>
    <row r="125" spans="1:8" ht="51" customHeight="1" x14ac:dyDescent="0.3">
      <c r="A125" s="53" t="s">
        <v>33</v>
      </c>
      <c r="B125" s="9" t="s">
        <v>9</v>
      </c>
      <c r="C125" s="133">
        <f>5043*1.04*1.05*1.05</f>
        <v>5782.3038000000006</v>
      </c>
      <c r="D125" s="180"/>
      <c r="E125" s="180">
        <v>90</v>
      </c>
      <c r="F125" s="180"/>
      <c r="G125" s="339"/>
      <c r="H125" s="133">
        <f t="shared" ref="H125:H128" si="25">C125-D125+E125+F125+G125</f>
        <v>5872.3038000000006</v>
      </c>
    </row>
    <row r="126" spans="1:8" ht="51" customHeight="1" x14ac:dyDescent="0.3">
      <c r="A126" s="53" t="s">
        <v>29</v>
      </c>
      <c r="B126" s="10" t="s">
        <v>30</v>
      </c>
      <c r="C126" s="133">
        <f>10291*1.04*1.05*1.05</f>
        <v>11799.660600000003</v>
      </c>
      <c r="D126" s="181">
        <f>441*1.04*1.05*1.05</f>
        <v>505.65060000000011</v>
      </c>
      <c r="E126" s="181">
        <v>0</v>
      </c>
      <c r="F126" s="181"/>
      <c r="G126" s="339"/>
      <c r="H126" s="133">
        <f t="shared" si="25"/>
        <v>11294.010000000002</v>
      </c>
    </row>
    <row r="127" spans="1:8" ht="45" customHeight="1" x14ac:dyDescent="0.3">
      <c r="A127" s="53" t="s">
        <v>286</v>
      </c>
      <c r="B127" s="23" t="s">
        <v>246</v>
      </c>
      <c r="C127" s="134">
        <f>4530*1.04*1.05*1.05</f>
        <v>5194.0980000000009</v>
      </c>
      <c r="D127" s="133"/>
      <c r="E127" s="133">
        <v>90</v>
      </c>
      <c r="F127" s="133"/>
      <c r="G127" s="339"/>
      <c r="H127" s="133">
        <f t="shared" si="25"/>
        <v>5284.0980000000009</v>
      </c>
    </row>
    <row r="128" spans="1:8" ht="51" customHeight="1" thickBot="1" x14ac:dyDescent="0.35">
      <c r="A128" s="53" t="s">
        <v>31</v>
      </c>
      <c r="B128" s="128" t="s">
        <v>30</v>
      </c>
      <c r="C128" s="133">
        <f>6603*1.04*1.05*1.05</f>
        <v>7570.9998000000005</v>
      </c>
      <c r="D128" s="181">
        <f>132*1.04*1.05*1.05</f>
        <v>151.35120000000001</v>
      </c>
      <c r="E128" s="181"/>
      <c r="F128" s="181"/>
      <c r="G128" s="339"/>
      <c r="H128" s="133">
        <f t="shared" si="25"/>
        <v>7419.6486000000004</v>
      </c>
    </row>
    <row r="129" spans="1:8" ht="25.5" customHeight="1" thickTop="1" thickBot="1" x14ac:dyDescent="0.35">
      <c r="A129" s="53"/>
      <c r="B129" s="37" t="s">
        <v>6</v>
      </c>
      <c r="C129" s="142">
        <f t="shared" ref="C129:F129" si="26">SUM(C123:C128)</f>
        <v>49838.115600000005</v>
      </c>
      <c r="D129" s="142">
        <f t="shared" si="26"/>
        <v>1577.7216000000003</v>
      </c>
      <c r="E129" s="142">
        <f t="shared" si="26"/>
        <v>180</v>
      </c>
      <c r="F129" s="142">
        <f t="shared" si="26"/>
        <v>0</v>
      </c>
      <c r="G129" s="142">
        <f>SUM(G123:G128)</f>
        <v>0</v>
      </c>
      <c r="H129" s="142">
        <f>SUM(H123:H128)</f>
        <v>48440.394</v>
      </c>
    </row>
    <row r="130" spans="1:8" ht="25.5" customHeight="1" x14ac:dyDescent="0.3">
      <c r="A130" s="53"/>
      <c r="B130" s="139" t="s">
        <v>215</v>
      </c>
      <c r="C130" s="140">
        <f>C129-[5]MADRE!$H$185</f>
        <v>0</v>
      </c>
      <c r="D130" s="140">
        <f>D129-[5]MADRE!$I$185</f>
        <v>0</v>
      </c>
      <c r="E130" s="140">
        <f>E129-[6]MADRE!$J$194</f>
        <v>0</v>
      </c>
      <c r="F130" s="140">
        <f>F129-[2]MADRE!K$187</f>
        <v>0</v>
      </c>
      <c r="G130" s="140">
        <f>G129-[3]MADRE!$L$184</f>
        <v>0</v>
      </c>
      <c r="H130" s="140">
        <f>H129-[3]MADRE!$M$184</f>
        <v>0</v>
      </c>
    </row>
    <row r="131" spans="1:8" ht="15" customHeight="1" x14ac:dyDescent="0.3">
      <c r="A131" s="42" t="s">
        <v>188</v>
      </c>
      <c r="B131" s="182"/>
      <c r="C131" s="183"/>
      <c r="D131" s="183"/>
      <c r="E131" s="183"/>
      <c r="F131" s="183"/>
      <c r="G131" s="183"/>
      <c r="H131" s="183"/>
    </row>
    <row r="132" spans="1:8" ht="51" customHeight="1" x14ac:dyDescent="0.3">
      <c r="A132" s="52" t="s">
        <v>417</v>
      </c>
      <c r="B132" s="119" t="s">
        <v>220</v>
      </c>
      <c r="C132" s="138">
        <f>8000*1.05*1.05*1.05</f>
        <v>9261</v>
      </c>
      <c r="D132" s="138">
        <f>367*1.05*1.05*1.05</f>
        <v>424.84837500000009</v>
      </c>
      <c r="E132" s="162"/>
      <c r="F132" s="162"/>
      <c r="G132" s="162"/>
      <c r="H132" s="141">
        <f>C132-D132+E132+F132+G132</f>
        <v>8836.1516250000004</v>
      </c>
    </row>
    <row r="133" spans="1:8" ht="51" customHeight="1" x14ac:dyDescent="0.3">
      <c r="A133" s="69" t="s">
        <v>112</v>
      </c>
      <c r="B133" s="184" t="s">
        <v>65</v>
      </c>
      <c r="C133" s="133">
        <f>6019*1.05*1.05*1.05</f>
        <v>6967.7448750000003</v>
      </c>
      <c r="D133" s="133">
        <f>183*1.05*1.05*1.05</f>
        <v>211.84537500000002</v>
      </c>
      <c r="E133" s="166"/>
      <c r="F133" s="166"/>
      <c r="G133" s="340"/>
      <c r="H133" s="133">
        <f>C133-D133+E133+F133+G133</f>
        <v>6755.8995000000004</v>
      </c>
    </row>
    <row r="134" spans="1:8" ht="51" customHeight="1" x14ac:dyDescent="0.3">
      <c r="A134" s="53" t="s">
        <v>123</v>
      </c>
      <c r="B134" s="185" t="s">
        <v>118</v>
      </c>
      <c r="C134" s="133">
        <f>7215*1.05*1.05*1.05</f>
        <v>8352.2643750000007</v>
      </c>
      <c r="D134" s="133">
        <f>231*1.05*1.05</f>
        <v>254.67750000000001</v>
      </c>
      <c r="E134" s="133"/>
      <c r="F134" s="133"/>
      <c r="G134" s="340"/>
      <c r="H134" s="133">
        <f t="shared" ref="H134:H142" si="27">C134-D134+E134+F134+G134</f>
        <v>8097.5868750000009</v>
      </c>
    </row>
    <row r="135" spans="1:8" ht="51" customHeight="1" x14ac:dyDescent="0.3">
      <c r="A135" s="53" t="s">
        <v>124</v>
      </c>
      <c r="B135" s="131" t="s">
        <v>118</v>
      </c>
      <c r="C135" s="133">
        <f>6432*1.05*1.05*1.05</f>
        <v>7445.844000000001</v>
      </c>
      <c r="D135" s="133">
        <f>183*1.05*1.05*1.05</f>
        <v>211.84537500000002</v>
      </c>
      <c r="E135" s="133"/>
      <c r="F135" s="133"/>
      <c r="G135" s="340"/>
      <c r="H135" s="133">
        <f t="shared" si="27"/>
        <v>7233.9986250000011</v>
      </c>
    </row>
    <row r="136" spans="1:8" ht="51" customHeight="1" x14ac:dyDescent="0.3">
      <c r="A136" s="51" t="s">
        <v>269</v>
      </c>
      <c r="B136" s="187" t="s">
        <v>118</v>
      </c>
      <c r="C136" s="133">
        <f>5677*1.05*1.05*1.05</f>
        <v>6571.8371250000009</v>
      </c>
      <c r="D136" s="133">
        <f>157*1.05*1.05*1.05</f>
        <v>181.74712500000001</v>
      </c>
      <c r="E136" s="133"/>
      <c r="F136" s="133"/>
      <c r="G136" s="340"/>
      <c r="H136" s="133">
        <f t="shared" si="27"/>
        <v>6390.0900000000011</v>
      </c>
    </row>
    <row r="137" spans="1:8" ht="51" customHeight="1" x14ac:dyDescent="0.3">
      <c r="A137" s="51" t="s">
        <v>323</v>
      </c>
      <c r="B137" s="187" t="s">
        <v>118</v>
      </c>
      <c r="C137" s="133">
        <f>5677*1.05*1.05*1.05</f>
        <v>6571.8371250000009</v>
      </c>
      <c r="D137" s="133">
        <f>157*1.05*1.05*1.05</f>
        <v>181.74712500000001</v>
      </c>
      <c r="E137" s="133"/>
      <c r="F137" s="133"/>
      <c r="G137" s="340"/>
      <c r="H137" s="133">
        <f t="shared" si="27"/>
        <v>6390.0900000000011</v>
      </c>
    </row>
    <row r="138" spans="1:8" ht="51" customHeight="1" x14ac:dyDescent="0.3">
      <c r="A138" s="51" t="s">
        <v>334</v>
      </c>
      <c r="B138" s="187" t="s">
        <v>268</v>
      </c>
      <c r="C138" s="133">
        <f>5145*1.05*1.05*1.05</f>
        <v>5955.9806250000001</v>
      </c>
      <c r="D138" s="133">
        <f>157*1.05*1.05*1.05</f>
        <v>181.74712500000001</v>
      </c>
      <c r="E138" s="133"/>
      <c r="F138" s="133"/>
      <c r="G138" s="340"/>
      <c r="H138" s="133">
        <f t="shared" si="27"/>
        <v>5774.2335000000003</v>
      </c>
    </row>
    <row r="139" spans="1:8" ht="51" customHeight="1" x14ac:dyDescent="0.3">
      <c r="A139" s="53" t="s">
        <v>337</v>
      </c>
      <c r="B139" s="187" t="s">
        <v>118</v>
      </c>
      <c r="C139" s="133">
        <f>5145*1.05*1.05*1.05</f>
        <v>5955.9806250000001</v>
      </c>
      <c r="D139" s="133">
        <f>157*1.05*1.05*1.05</f>
        <v>181.74712500000001</v>
      </c>
      <c r="E139" s="133"/>
      <c r="F139" s="170"/>
      <c r="G139" s="340"/>
      <c r="H139" s="133">
        <f t="shared" si="27"/>
        <v>5774.2335000000003</v>
      </c>
    </row>
    <row r="140" spans="1:8" ht="51" customHeight="1" x14ac:dyDescent="0.3">
      <c r="A140" s="53" t="s">
        <v>387</v>
      </c>
      <c r="B140" s="187" t="s">
        <v>118</v>
      </c>
      <c r="C140" s="133">
        <f>5050*1.05*1.05*1.05</f>
        <v>5846.0062500000004</v>
      </c>
      <c r="D140" s="133">
        <f>140*1.05*1.05*1.05</f>
        <v>162.0675</v>
      </c>
      <c r="E140" s="148"/>
      <c r="F140" s="186"/>
      <c r="G140" s="340"/>
      <c r="H140" s="133">
        <f t="shared" si="27"/>
        <v>5683.9387500000003</v>
      </c>
    </row>
    <row r="141" spans="1:8" ht="51" customHeight="1" x14ac:dyDescent="0.3">
      <c r="A141" s="53" t="s">
        <v>472</v>
      </c>
      <c r="B141" s="187" t="s">
        <v>118</v>
      </c>
      <c r="C141" s="133">
        <v>6181.75</v>
      </c>
      <c r="D141" s="133">
        <v>181.75</v>
      </c>
      <c r="E141" s="317"/>
      <c r="F141" s="186"/>
      <c r="G141" s="340"/>
      <c r="H141" s="133">
        <f t="shared" si="27"/>
        <v>6000</v>
      </c>
    </row>
    <row r="142" spans="1:8" ht="51" customHeight="1" thickBot="1" x14ac:dyDescent="0.35">
      <c r="A142" s="61" t="s">
        <v>61</v>
      </c>
      <c r="B142" s="32" t="s">
        <v>394</v>
      </c>
      <c r="C142" s="280">
        <f>5545*1.05*1.05*1.05</f>
        <v>6419.0306250000003</v>
      </c>
      <c r="D142" s="280">
        <f>103.95*1.05*1.05</f>
        <v>114.60487500000001</v>
      </c>
      <c r="E142" s="303"/>
      <c r="F142" s="303">
        <v>126</v>
      </c>
      <c r="G142" s="366"/>
      <c r="H142" s="277">
        <f t="shared" si="27"/>
        <v>6430.4257500000003</v>
      </c>
    </row>
    <row r="143" spans="1:8" ht="25.5" customHeight="1" thickTop="1" thickBot="1" x14ac:dyDescent="0.35">
      <c r="A143" s="70"/>
      <c r="B143" s="37" t="s">
        <v>6</v>
      </c>
      <c r="C143" s="143">
        <f t="shared" ref="C143:G143" si="28">SUM(C132:C142)</f>
        <v>75529.275624999995</v>
      </c>
      <c r="D143" s="143">
        <f t="shared" si="28"/>
        <v>2288.6275000000005</v>
      </c>
      <c r="E143" s="143">
        <f t="shared" si="28"/>
        <v>0</v>
      </c>
      <c r="F143" s="143">
        <f t="shared" si="28"/>
        <v>126</v>
      </c>
      <c r="G143" s="143">
        <f t="shared" si="28"/>
        <v>0</v>
      </c>
      <c r="H143" s="143">
        <f>SUM(H132:H142)</f>
        <v>73366.648125000007</v>
      </c>
    </row>
    <row r="144" spans="1:8" ht="25.5" customHeight="1" thickBot="1" x14ac:dyDescent="0.35">
      <c r="A144" s="70"/>
      <c r="B144" s="136" t="s">
        <v>215</v>
      </c>
      <c r="C144" s="137">
        <f>C143-[20]MADRE!$H$198</f>
        <v>0</v>
      </c>
      <c r="D144" s="137">
        <f>D143-[20]MADRE!$I$198</f>
        <v>0</v>
      </c>
      <c r="E144" s="137">
        <f>E143-[2]MADRE!J$200</f>
        <v>0</v>
      </c>
      <c r="F144" s="137">
        <f>F143-[17]MADRE!$K$203</f>
        <v>0</v>
      </c>
      <c r="G144" s="137">
        <f>G143-[3]MADRE!$L$198</f>
        <v>0</v>
      </c>
      <c r="H144" s="362">
        <f>H143-[20]MADRE!$M$198</f>
        <v>0</v>
      </c>
    </row>
    <row r="145" spans="1:8" ht="15" customHeight="1" x14ac:dyDescent="0.3">
      <c r="A145" s="12" t="s">
        <v>189</v>
      </c>
      <c r="B145" s="15"/>
      <c r="C145" s="15"/>
      <c r="D145" s="15"/>
      <c r="E145" s="15"/>
      <c r="F145" s="15"/>
      <c r="G145" s="337"/>
      <c r="H145" s="15"/>
    </row>
    <row r="146" spans="1:8" ht="51" customHeight="1" thickBot="1" x14ac:dyDescent="0.35">
      <c r="A146" s="53" t="s">
        <v>462</v>
      </c>
      <c r="B146" s="22" t="s">
        <v>463</v>
      </c>
      <c r="C146" s="280">
        <f>3900</f>
        <v>3900</v>
      </c>
      <c r="D146" s="280"/>
      <c r="E146" s="280"/>
      <c r="F146" s="280"/>
      <c r="G146" s="295"/>
      <c r="H146" s="276">
        <f>C146-D146+E146+G146</f>
        <v>3900</v>
      </c>
    </row>
    <row r="147" spans="1:8" ht="25.5" customHeight="1" thickTop="1" thickBot="1" x14ac:dyDescent="0.35">
      <c r="B147" s="37" t="s">
        <v>6</v>
      </c>
      <c r="C147" s="143">
        <f t="shared" ref="C147:G147" si="29">SUM(C146:C146)</f>
        <v>3900</v>
      </c>
      <c r="D147" s="143">
        <f t="shared" si="29"/>
        <v>0</v>
      </c>
      <c r="E147" s="143">
        <f t="shared" si="29"/>
        <v>0</v>
      </c>
      <c r="F147" s="143">
        <f t="shared" si="29"/>
        <v>0</v>
      </c>
      <c r="G147" s="143">
        <f t="shared" si="29"/>
        <v>0</v>
      </c>
      <c r="H147" s="143">
        <f>SUM(H146:H146)</f>
        <v>3900</v>
      </c>
    </row>
    <row r="148" spans="1:8" ht="25.5" customHeight="1" thickBot="1" x14ac:dyDescent="0.35">
      <c r="B148" s="136" t="s">
        <v>215</v>
      </c>
      <c r="C148" s="152">
        <f>C147-[16]MADRE!$H$205</f>
        <v>0</v>
      </c>
      <c r="D148" s="152">
        <f>D147-[16]MADRE!$I$205</f>
        <v>0</v>
      </c>
      <c r="E148" s="152">
        <f>E147-[11]MADRE!$J$220</f>
        <v>0</v>
      </c>
      <c r="F148" s="152">
        <f>F147-[2]MADRE!K$216</f>
        <v>0</v>
      </c>
      <c r="G148" s="152">
        <f>G147-[5]MADRE!$L$207</f>
        <v>0</v>
      </c>
      <c r="H148" s="152">
        <f>H147-[16]MADRE!$M$205</f>
        <v>0</v>
      </c>
    </row>
    <row r="149" spans="1:8" ht="15" customHeight="1" x14ac:dyDescent="0.3">
      <c r="A149" s="12" t="s">
        <v>190</v>
      </c>
      <c r="B149" s="15"/>
      <c r="C149" s="15"/>
      <c r="D149" s="15"/>
      <c r="E149" s="15"/>
      <c r="F149" s="15"/>
      <c r="G149" s="337"/>
      <c r="H149" s="15"/>
    </row>
    <row r="150" spans="1:8" s="7" customFormat="1" ht="43.5" customHeight="1" x14ac:dyDescent="0.3">
      <c r="A150" s="72" t="s">
        <v>358</v>
      </c>
      <c r="B150" s="115" t="s">
        <v>426</v>
      </c>
      <c r="C150" s="141">
        <v>0</v>
      </c>
      <c r="D150" s="141">
        <v>0</v>
      </c>
      <c r="E150" s="141"/>
      <c r="F150" s="141"/>
      <c r="G150" s="141"/>
      <c r="H150" s="141">
        <f>C150-D150+E150+G150</f>
        <v>0</v>
      </c>
    </row>
    <row r="151" spans="1:8" ht="48.95" customHeight="1" x14ac:dyDescent="0.3">
      <c r="A151" s="73" t="s">
        <v>39</v>
      </c>
      <c r="B151" s="30" t="s">
        <v>432</v>
      </c>
      <c r="C151" s="166">
        <f>4668*1.05*1.05*1.05+6105.78</f>
        <v>11509.573500000002</v>
      </c>
      <c r="D151" s="188">
        <v>505.65</v>
      </c>
      <c r="E151" s="189"/>
      <c r="F151" s="189"/>
      <c r="G151" s="133"/>
      <c r="H151" s="133">
        <f>C151-D151+E151+G151</f>
        <v>11003.923500000003</v>
      </c>
    </row>
    <row r="152" spans="1:8" ht="48.95" customHeight="1" x14ac:dyDescent="0.3">
      <c r="A152" s="74" t="s">
        <v>38</v>
      </c>
      <c r="B152" s="191" t="s">
        <v>238</v>
      </c>
      <c r="C152" s="165">
        <f>5429*1.05*1.05*1.05</f>
        <v>6284.7461249999997</v>
      </c>
      <c r="D152" s="148"/>
      <c r="E152" s="316">
        <v>90</v>
      </c>
      <c r="F152" s="316"/>
      <c r="G152" s="133"/>
      <c r="H152" s="133">
        <f t="shared" ref="H152:H164" si="30">C152-D152+E152+G152</f>
        <v>6374.7461249999997</v>
      </c>
    </row>
    <row r="153" spans="1:8" ht="48.95" customHeight="1" x14ac:dyDescent="0.3">
      <c r="A153" s="80" t="s">
        <v>37</v>
      </c>
      <c r="B153" s="110" t="s">
        <v>239</v>
      </c>
      <c r="C153" s="145">
        <f>4075*1.05*1.05*1.05</f>
        <v>4717.3218750000005</v>
      </c>
      <c r="D153" s="148"/>
      <c r="E153" s="316">
        <v>150</v>
      </c>
      <c r="F153" s="316"/>
      <c r="G153" s="133"/>
      <c r="H153" s="133">
        <f t="shared" si="30"/>
        <v>4867.3218750000005</v>
      </c>
    </row>
    <row r="154" spans="1:8" ht="48.95" customHeight="1" x14ac:dyDescent="0.3">
      <c r="A154" s="82" t="s">
        <v>36</v>
      </c>
      <c r="B154" s="192" t="s">
        <v>240</v>
      </c>
      <c r="C154" s="145">
        <f>4075*1.05*1.05*1.05</f>
        <v>4717.3218750000005</v>
      </c>
      <c r="D154" s="201"/>
      <c r="E154" s="317">
        <v>150</v>
      </c>
      <c r="F154" s="317"/>
      <c r="G154" s="133"/>
      <c r="H154" s="133">
        <f t="shared" si="30"/>
        <v>4867.3218750000005</v>
      </c>
    </row>
    <row r="155" spans="1:8" ht="48.95" customHeight="1" x14ac:dyDescent="0.3">
      <c r="A155" s="324" t="s">
        <v>41</v>
      </c>
      <c r="B155" s="325" t="s">
        <v>241</v>
      </c>
      <c r="C155" s="326">
        <v>0</v>
      </c>
      <c r="D155" s="327"/>
      <c r="E155" s="328">
        <v>0</v>
      </c>
      <c r="F155" s="329"/>
      <c r="G155" s="133"/>
      <c r="H155" s="133">
        <f t="shared" si="30"/>
        <v>0</v>
      </c>
    </row>
    <row r="156" spans="1:8" ht="48.95" customHeight="1" x14ac:dyDescent="0.3">
      <c r="A156" s="76" t="s">
        <v>40</v>
      </c>
      <c r="B156" s="110" t="s">
        <v>242</v>
      </c>
      <c r="C156" s="145">
        <f>4075*1.05*1.05*1.05</f>
        <v>4717.3218750000005</v>
      </c>
      <c r="D156" s="145"/>
      <c r="E156" s="147">
        <v>142</v>
      </c>
      <c r="F156" s="316"/>
      <c r="G156" s="133"/>
      <c r="H156" s="133">
        <f t="shared" si="30"/>
        <v>4859.3218750000005</v>
      </c>
    </row>
    <row r="157" spans="1:8" ht="48.75" customHeight="1" x14ac:dyDescent="0.3">
      <c r="A157" s="299" t="s">
        <v>42</v>
      </c>
      <c r="B157" s="111" t="s">
        <v>242</v>
      </c>
      <c r="C157" s="145">
        <f>4075*1.05*1.05*1.05</f>
        <v>4717.3218750000005</v>
      </c>
      <c r="D157" s="134"/>
      <c r="E157" s="134">
        <v>142</v>
      </c>
      <c r="F157" s="134"/>
      <c r="G157" s="133"/>
      <c r="H157" s="133">
        <f t="shared" si="30"/>
        <v>4859.3218750000005</v>
      </c>
    </row>
    <row r="158" spans="1:8" ht="48.75" customHeight="1" x14ac:dyDescent="0.3">
      <c r="A158" s="51" t="s">
        <v>292</v>
      </c>
      <c r="B158" s="10" t="s">
        <v>330</v>
      </c>
      <c r="C158" s="133">
        <f>3885*1.05*1.05*1.05</f>
        <v>4497.373125000001</v>
      </c>
      <c r="D158" s="133"/>
      <c r="E158" s="134">
        <v>142</v>
      </c>
      <c r="F158" s="134"/>
      <c r="G158" s="133"/>
      <c r="H158" s="133">
        <f t="shared" si="30"/>
        <v>4639.373125000001</v>
      </c>
    </row>
    <row r="159" spans="1:8" ht="48.75" customHeight="1" x14ac:dyDescent="0.3">
      <c r="A159" s="51" t="s">
        <v>293</v>
      </c>
      <c r="B159" s="10" t="s">
        <v>330</v>
      </c>
      <c r="C159" s="133">
        <f>3885*1.05*1.05*1.05</f>
        <v>4497.373125000001</v>
      </c>
      <c r="D159" s="133"/>
      <c r="E159" s="134">
        <v>142</v>
      </c>
      <c r="F159" s="134"/>
      <c r="G159" s="133"/>
      <c r="H159" s="133">
        <f t="shared" si="30"/>
        <v>4639.373125000001</v>
      </c>
    </row>
    <row r="160" spans="1:8" ht="48.75" customHeight="1" x14ac:dyDescent="0.3">
      <c r="A160" s="51" t="s">
        <v>317</v>
      </c>
      <c r="B160" s="10" t="s">
        <v>330</v>
      </c>
      <c r="C160" s="133">
        <f>3885*1.05*1.05*1.05</f>
        <v>4497.373125000001</v>
      </c>
      <c r="D160" s="133"/>
      <c r="E160" s="134">
        <v>142</v>
      </c>
      <c r="F160" s="134"/>
      <c r="G160" s="133"/>
      <c r="H160" s="133">
        <f t="shared" si="30"/>
        <v>4639.373125000001</v>
      </c>
    </row>
    <row r="161" spans="1:8" ht="48.75" customHeight="1" x14ac:dyDescent="0.3">
      <c r="A161" s="51" t="s">
        <v>326</v>
      </c>
      <c r="B161" s="10" t="s">
        <v>330</v>
      </c>
      <c r="C161" s="133">
        <f>3885*1.05*1.05*1.05</f>
        <v>4497.373125000001</v>
      </c>
      <c r="D161" s="133"/>
      <c r="E161" s="134">
        <v>142</v>
      </c>
      <c r="F161" s="134"/>
      <c r="G161" s="133"/>
      <c r="H161" s="133">
        <f t="shared" si="30"/>
        <v>4639.373125000001</v>
      </c>
    </row>
    <row r="162" spans="1:8" ht="48.75" customHeight="1" x14ac:dyDescent="0.3">
      <c r="A162" s="77" t="s">
        <v>313</v>
      </c>
      <c r="B162" s="10" t="s">
        <v>336</v>
      </c>
      <c r="C162" s="133">
        <f>3885*1.05*1.05*1.05</f>
        <v>4497.373125000001</v>
      </c>
      <c r="D162" s="133"/>
      <c r="E162" s="134">
        <v>142</v>
      </c>
      <c r="F162" s="134"/>
      <c r="G162" s="133"/>
      <c r="H162" s="133">
        <f t="shared" si="30"/>
        <v>4639.373125000001</v>
      </c>
    </row>
    <row r="163" spans="1:8" s="2" customFormat="1" ht="51" customHeight="1" x14ac:dyDescent="0.3">
      <c r="A163" s="77" t="s">
        <v>413</v>
      </c>
      <c r="B163" s="10" t="s">
        <v>434</v>
      </c>
      <c r="C163" s="133">
        <f>5822.25*1.05*1.05</f>
        <v>6419.0306250000003</v>
      </c>
      <c r="D163" s="133">
        <f>103.95*1.05*1.05</f>
        <v>114.60487500000001</v>
      </c>
      <c r="E163" s="133"/>
      <c r="F163" s="133">
        <v>126</v>
      </c>
      <c r="G163" s="133"/>
      <c r="H163" s="133">
        <f>C163-D163+E163+G163+F163</f>
        <v>6430.4257500000003</v>
      </c>
    </row>
    <row r="164" spans="1:8" ht="48.75" customHeight="1" thickBot="1" x14ac:dyDescent="0.35">
      <c r="A164" s="77" t="s">
        <v>359</v>
      </c>
      <c r="B164" s="10" t="s">
        <v>453</v>
      </c>
      <c r="C164" s="133">
        <f>3885*1.05*1.05*1.05</f>
        <v>4497.373125000001</v>
      </c>
      <c r="D164" s="133"/>
      <c r="E164" s="134">
        <v>142</v>
      </c>
      <c r="F164" s="134"/>
      <c r="G164" s="133"/>
      <c r="H164" s="133">
        <f t="shared" si="30"/>
        <v>4639.373125000001</v>
      </c>
    </row>
    <row r="165" spans="1:8" ht="25.5" customHeight="1" thickTop="1" thickBot="1" x14ac:dyDescent="0.35">
      <c r="A165" s="78"/>
      <c r="B165" s="37" t="s">
        <v>6</v>
      </c>
      <c r="C165" s="142">
        <f t="shared" ref="C165:G165" si="31">SUM(C150:C164)</f>
        <v>70066.876499999998</v>
      </c>
      <c r="D165" s="142">
        <f t="shared" si="31"/>
        <v>620.25487499999997</v>
      </c>
      <c r="E165" s="142">
        <f t="shared" si="31"/>
        <v>1526</v>
      </c>
      <c r="F165" s="142">
        <f t="shared" si="31"/>
        <v>126</v>
      </c>
      <c r="G165" s="142">
        <f t="shared" si="31"/>
        <v>0</v>
      </c>
      <c r="H165" s="142">
        <f>SUM(H150:H164)</f>
        <v>71098.621625</v>
      </c>
    </row>
    <row r="166" spans="1:8" ht="25.5" customHeight="1" thickBot="1" x14ac:dyDescent="0.35">
      <c r="A166" s="78"/>
      <c r="B166" s="136" t="s">
        <v>215</v>
      </c>
      <c r="C166" s="137">
        <f>C165-[20]MADRE!$H$227</f>
        <v>0</v>
      </c>
      <c r="D166" s="137">
        <f>D165-[20]MADRE!$I$227</f>
        <v>0</v>
      </c>
      <c r="E166" s="137">
        <f>E165-[20]MADRE!$J$227</f>
        <v>0</v>
      </c>
      <c r="F166" s="137">
        <f>F165-[21]MADRE!$K$239</f>
        <v>0</v>
      </c>
      <c r="G166" s="137">
        <f>G165-[3]MADRE!$L$226</f>
        <v>0</v>
      </c>
      <c r="H166" s="137">
        <f>H165-[20]MADRE!$M$227</f>
        <v>0</v>
      </c>
    </row>
    <row r="167" spans="1:8" ht="15" customHeight="1" x14ac:dyDescent="0.3">
      <c r="A167" s="12" t="s">
        <v>191</v>
      </c>
      <c r="B167" s="15"/>
      <c r="C167" s="15"/>
      <c r="D167" s="15"/>
      <c r="E167" s="15"/>
      <c r="F167" s="15"/>
      <c r="G167" s="337"/>
      <c r="H167" s="15"/>
    </row>
    <row r="168" spans="1:8" ht="51" customHeight="1" x14ac:dyDescent="0.3">
      <c r="A168" s="53" t="s">
        <v>18</v>
      </c>
      <c r="B168" s="30" t="s">
        <v>20</v>
      </c>
      <c r="C168" s="133">
        <f>4790*1.04*1.05*1.05</f>
        <v>5492.2140000000009</v>
      </c>
      <c r="D168" s="133"/>
      <c r="E168" s="133">
        <v>90</v>
      </c>
      <c r="F168" s="133"/>
      <c r="G168" s="135"/>
      <c r="H168" s="133">
        <f>C168-D168+E168+G168</f>
        <v>5582.2140000000009</v>
      </c>
    </row>
    <row r="169" spans="1:8" ht="51" customHeight="1" x14ac:dyDescent="0.3">
      <c r="A169" s="61" t="s">
        <v>13</v>
      </c>
      <c r="B169" s="123" t="s">
        <v>448</v>
      </c>
      <c r="C169" s="134">
        <f>6928*1.04*1.05*1.05</f>
        <v>7943.6448000000009</v>
      </c>
      <c r="D169" s="134">
        <f>220*1.04*1.05*1.05</f>
        <v>252.25200000000001</v>
      </c>
      <c r="E169" s="147"/>
      <c r="F169" s="147"/>
      <c r="G169" s="135"/>
      <c r="H169" s="133">
        <f t="shared" ref="H169:H170" si="32">C169-D169+E169+G169</f>
        <v>7691.3928000000005</v>
      </c>
    </row>
    <row r="170" spans="1:8" ht="51" customHeight="1" thickBot="1" x14ac:dyDescent="0.35">
      <c r="A170" s="53" t="s">
        <v>23</v>
      </c>
      <c r="B170" s="34" t="s">
        <v>25</v>
      </c>
      <c r="C170" s="133">
        <f>3185*1.05*1.05*1.05</f>
        <v>3687.0356250000004</v>
      </c>
      <c r="D170" s="133"/>
      <c r="E170" s="133">
        <v>142</v>
      </c>
      <c r="F170" s="133"/>
      <c r="G170" s="135"/>
      <c r="H170" s="133">
        <f t="shared" si="32"/>
        <v>3829.0356250000004</v>
      </c>
    </row>
    <row r="171" spans="1:8" ht="25.5" customHeight="1" thickTop="1" thickBot="1" x14ac:dyDescent="0.35">
      <c r="A171" s="78"/>
      <c r="B171" s="37" t="s">
        <v>6</v>
      </c>
      <c r="C171" s="142">
        <f t="shared" ref="C171:G171" si="33">SUM(C168:C170)</f>
        <v>17122.894425000002</v>
      </c>
      <c r="D171" s="142">
        <f t="shared" si="33"/>
        <v>252.25200000000001</v>
      </c>
      <c r="E171" s="142">
        <f t="shared" si="33"/>
        <v>232</v>
      </c>
      <c r="F171" s="142">
        <f t="shared" si="33"/>
        <v>0</v>
      </c>
      <c r="G171" s="142">
        <f t="shared" si="33"/>
        <v>0</v>
      </c>
      <c r="H171" s="142">
        <f>SUM(H168:H170)</f>
        <v>17102.642425000002</v>
      </c>
    </row>
    <row r="172" spans="1:8" ht="25.5" customHeight="1" thickBot="1" x14ac:dyDescent="0.35">
      <c r="A172" s="78"/>
      <c r="B172" s="136" t="s">
        <v>215</v>
      </c>
      <c r="C172" s="140">
        <f>C171-[22]MADRE!$H$237</f>
        <v>0</v>
      </c>
      <c r="D172" s="140">
        <f>D171-[22]MADRE!$I$237</f>
        <v>0</v>
      </c>
      <c r="E172" s="140">
        <f>E171-[11]MADRE!$J$249</f>
        <v>0</v>
      </c>
      <c r="F172" s="140"/>
      <c r="G172" s="140">
        <f>G171-[3]MADRE!$L$235</f>
        <v>0</v>
      </c>
      <c r="H172" s="140">
        <f>H171-[3]MADRE!$M$235</f>
        <v>0</v>
      </c>
    </row>
    <row r="173" spans="1:8" ht="15" customHeight="1" x14ac:dyDescent="0.3">
      <c r="A173" s="12" t="s">
        <v>192</v>
      </c>
      <c r="B173" s="15"/>
      <c r="C173" s="57"/>
      <c r="D173" s="19"/>
      <c r="E173" s="19"/>
      <c r="F173" s="19"/>
      <c r="G173" s="364"/>
      <c r="H173" s="19"/>
    </row>
    <row r="174" spans="1:8" ht="51" customHeight="1" x14ac:dyDescent="0.3">
      <c r="A174" s="56" t="s">
        <v>361</v>
      </c>
      <c r="B174" s="193" t="s">
        <v>300</v>
      </c>
      <c r="C174" s="141">
        <f>10038*1.04*1.05*1.05</f>
        <v>11509.570800000001</v>
      </c>
      <c r="D174" s="141">
        <f>441*1.04*1.05*1.05</f>
        <v>505.65060000000011</v>
      </c>
      <c r="E174" s="194"/>
      <c r="F174" s="194"/>
      <c r="G174" s="135"/>
      <c r="H174" s="161">
        <f>C174-D174+G174</f>
        <v>11003.9202</v>
      </c>
    </row>
    <row r="175" spans="1:8" ht="51" customHeight="1" x14ac:dyDescent="0.3">
      <c r="A175" s="51" t="s">
        <v>331</v>
      </c>
      <c r="B175" s="22" t="s">
        <v>391</v>
      </c>
      <c r="C175" s="133">
        <f>3100*1.04*1.05*1.05</f>
        <v>3554.4600000000005</v>
      </c>
      <c r="D175" s="133"/>
      <c r="E175" s="133">
        <v>90</v>
      </c>
      <c r="F175" s="133"/>
      <c r="G175" s="135"/>
      <c r="H175" s="151">
        <f>C175-D175+G175+E175</f>
        <v>3644.4600000000005</v>
      </c>
    </row>
    <row r="176" spans="1:8" ht="51" customHeight="1" thickBot="1" x14ac:dyDescent="0.35">
      <c r="A176" s="53" t="s">
        <v>43</v>
      </c>
      <c r="B176" s="23" t="s">
        <v>246</v>
      </c>
      <c r="C176" s="195">
        <f>5247*1.04*1.05*1.05</f>
        <v>6016.2102000000004</v>
      </c>
      <c r="D176" s="195"/>
      <c r="E176" s="195">
        <v>90</v>
      </c>
      <c r="F176" s="277"/>
      <c r="G176" s="342"/>
      <c r="H176" s="196">
        <f>C176-D176+G176+E176</f>
        <v>6106.2102000000004</v>
      </c>
    </row>
    <row r="177" spans="1:8" ht="25.5" customHeight="1" thickTop="1" thickBot="1" x14ac:dyDescent="0.35">
      <c r="B177" s="37" t="s">
        <v>6</v>
      </c>
      <c r="C177" s="135">
        <f t="shared" ref="C177:G177" si="34">SUM(C174:C176)</f>
        <v>21080.241000000002</v>
      </c>
      <c r="D177" s="135">
        <f t="shared" si="34"/>
        <v>505.65060000000011</v>
      </c>
      <c r="E177" s="135">
        <f t="shared" si="34"/>
        <v>180</v>
      </c>
      <c r="F177" s="135">
        <f t="shared" si="34"/>
        <v>0</v>
      </c>
      <c r="G177" s="135">
        <f t="shared" si="34"/>
        <v>0</v>
      </c>
      <c r="H177" s="135">
        <f>SUM(H174:H176)</f>
        <v>20754.590400000001</v>
      </c>
    </row>
    <row r="178" spans="1:8" ht="25.5" customHeight="1" thickBot="1" x14ac:dyDescent="0.35">
      <c r="B178" s="136" t="s">
        <v>215</v>
      </c>
      <c r="C178" s="137">
        <f>C177-[5]MADRE!$H$247</f>
        <v>0</v>
      </c>
      <c r="D178" s="137">
        <f>D177-[5]MADRE!$I$247</f>
        <v>0</v>
      </c>
      <c r="E178" s="137">
        <f>E177-[17]MADRE!$J$262</f>
        <v>0</v>
      </c>
      <c r="F178" s="137">
        <f>F177-[2]MADRE!K$256</f>
        <v>0</v>
      </c>
      <c r="G178" s="137">
        <f>G177-[3]MADRE!$L$244</f>
        <v>0</v>
      </c>
      <c r="H178" s="137">
        <f>H177-[3]MADRE!$M$244</f>
        <v>0</v>
      </c>
    </row>
    <row r="179" spans="1:8" ht="15" customHeight="1" x14ac:dyDescent="0.3">
      <c r="A179" s="331" t="s">
        <v>193</v>
      </c>
      <c r="B179" s="15"/>
      <c r="C179" s="15"/>
      <c r="D179" s="57"/>
      <c r="E179" s="19"/>
      <c r="F179" s="19"/>
      <c r="G179" s="364"/>
      <c r="H179" s="19"/>
    </row>
    <row r="180" spans="1:8" ht="51" customHeight="1" x14ac:dyDescent="0.3">
      <c r="A180" s="56" t="s">
        <v>267</v>
      </c>
      <c r="B180" s="18" t="s">
        <v>289</v>
      </c>
      <c r="C180" s="141">
        <f>10451*1.04*1.05*1.05</f>
        <v>11983.116600000003</v>
      </c>
      <c r="D180" s="141">
        <f>441*1.04*1.05*1.05</f>
        <v>505.65060000000011</v>
      </c>
      <c r="E180" s="141"/>
      <c r="F180" s="141"/>
      <c r="G180" s="141"/>
      <c r="H180" s="141">
        <f>C180-D180+G180</f>
        <v>11477.466000000002</v>
      </c>
    </row>
    <row r="181" spans="1:8" ht="51" customHeight="1" x14ac:dyDescent="0.3">
      <c r="A181" s="304" t="s">
        <v>456</v>
      </c>
      <c r="B181" s="23" t="s">
        <v>457</v>
      </c>
      <c r="C181" s="133">
        <f>5341.35*1.05</f>
        <v>5608.4175000000005</v>
      </c>
      <c r="D181" s="133">
        <f>154*1.05</f>
        <v>161.70000000000002</v>
      </c>
      <c r="E181" s="133"/>
      <c r="F181" s="133"/>
      <c r="G181" s="143"/>
      <c r="H181" s="133">
        <f>C181-D181+G181</f>
        <v>5446.7175000000007</v>
      </c>
    </row>
    <row r="182" spans="1:8" ht="51" customHeight="1" thickBot="1" x14ac:dyDescent="0.35">
      <c r="A182" s="71" t="s">
        <v>47</v>
      </c>
      <c r="B182" s="334" t="s">
        <v>44</v>
      </c>
      <c r="C182" s="280">
        <f>7458*1.05*1.05*1.05</f>
        <v>8633.5672500000019</v>
      </c>
      <c r="D182" s="280">
        <f>367*1.05*1.05*1.05</f>
        <v>424.84837500000009</v>
      </c>
      <c r="E182" s="280"/>
      <c r="F182" s="277">
        <v>280</v>
      </c>
      <c r="G182" s="342"/>
      <c r="H182" s="277">
        <f>C182-D182+G182+F182</f>
        <v>8488.7188750000023</v>
      </c>
    </row>
    <row r="183" spans="1:8" ht="25.5" customHeight="1" thickTop="1" thickBot="1" x14ac:dyDescent="0.35">
      <c r="A183" s="51"/>
      <c r="B183" s="126" t="s">
        <v>6</v>
      </c>
      <c r="C183" s="143">
        <f>SUM(C180:C182)</f>
        <v>26225.101350000004</v>
      </c>
      <c r="D183" s="143">
        <f t="shared" ref="D183:G183" si="35">SUM(D180:D182)</f>
        <v>1092.1989750000002</v>
      </c>
      <c r="E183" s="143">
        <f t="shared" si="35"/>
        <v>0</v>
      </c>
      <c r="F183" s="143">
        <f t="shared" si="35"/>
        <v>280</v>
      </c>
      <c r="G183" s="143">
        <f t="shared" si="35"/>
        <v>0</v>
      </c>
      <c r="H183" s="143">
        <f>SUM(H180:H182)</f>
        <v>25412.902375000005</v>
      </c>
    </row>
    <row r="184" spans="1:8" ht="25.5" customHeight="1" thickBot="1" x14ac:dyDescent="0.35">
      <c r="A184" s="51"/>
      <c r="B184" s="136" t="s">
        <v>215</v>
      </c>
      <c r="C184" s="137">
        <f>C183-[5]MADRE!$H$257</f>
        <v>0</v>
      </c>
      <c r="D184" s="137">
        <f>D183-[5]MADRE!$I$257</f>
        <v>0</v>
      </c>
      <c r="E184" s="137">
        <f>E183-[18]MADRE!$J$266</f>
        <v>0</v>
      </c>
      <c r="F184" s="137">
        <f>F183-[18]MADRE!$K$266</f>
        <v>0</v>
      </c>
      <c r="G184" s="137">
        <f>G183-[3]MADRE!$L$254</f>
        <v>0</v>
      </c>
      <c r="H184" s="137">
        <f>H183-[3]MADRE!$M$254</f>
        <v>0</v>
      </c>
    </row>
    <row r="185" spans="1:8" ht="14.25" customHeight="1" x14ac:dyDescent="0.3">
      <c r="A185" s="330" t="s">
        <v>209</v>
      </c>
      <c r="B185" s="118"/>
      <c r="C185" s="197"/>
      <c r="D185" s="197"/>
      <c r="E185" s="197"/>
      <c r="F185" s="197"/>
      <c r="G185" s="367"/>
      <c r="H185" s="197"/>
    </row>
    <row r="187" spans="1:8" s="7" customFormat="1" ht="51" customHeight="1" x14ac:dyDescent="0.3">
      <c r="A187" s="76" t="s">
        <v>52</v>
      </c>
      <c r="B187" s="34" t="s">
        <v>48</v>
      </c>
      <c r="C187" s="133">
        <f>6498*1.05*1.05*1.05</f>
        <v>7522.2472500000013</v>
      </c>
      <c r="D187" s="133">
        <f>220*1.05*1.05*1.05</f>
        <v>254.67750000000001</v>
      </c>
      <c r="E187" s="148"/>
      <c r="F187" s="145">
        <v>175</v>
      </c>
      <c r="G187" s="143"/>
      <c r="H187" s="133">
        <f>C187-D187+E187+F187+G187</f>
        <v>7442.5697500000015</v>
      </c>
    </row>
    <row r="188" spans="1:8" ht="51" customHeight="1" x14ac:dyDescent="0.3">
      <c r="A188" s="66" t="s">
        <v>53</v>
      </c>
      <c r="B188" s="34" t="s">
        <v>48</v>
      </c>
      <c r="C188" s="133">
        <f>6498*1.05*1.05*1.05</f>
        <v>7522.2472500000013</v>
      </c>
      <c r="D188" s="133">
        <f>220*1.05*1.05*1.05</f>
        <v>254.67750000000001</v>
      </c>
      <c r="E188" s="146"/>
      <c r="F188" s="145">
        <v>175</v>
      </c>
      <c r="G188" s="143"/>
      <c r="H188" s="133">
        <f>C188-D188+E188+F188+G188</f>
        <v>7442.5697500000015</v>
      </c>
    </row>
    <row r="189" spans="1:8" s="2" customFormat="1" ht="51" customHeight="1" x14ac:dyDescent="0.3">
      <c r="A189" s="77" t="s">
        <v>327</v>
      </c>
      <c r="B189" s="34" t="s">
        <v>48</v>
      </c>
      <c r="C189" s="133">
        <f>6498*1.05*1.05*1.05</f>
        <v>7522.2472500000013</v>
      </c>
      <c r="D189" s="133">
        <f>220*1.05*1.05*1.05</f>
        <v>254.67750000000001</v>
      </c>
      <c r="E189" s="133"/>
      <c r="F189" s="145">
        <v>175</v>
      </c>
      <c r="G189" s="143"/>
      <c r="H189" s="190">
        <f>C189-D189+E189+F189+G189</f>
        <v>7442.5697500000015</v>
      </c>
    </row>
    <row r="190" spans="1:8" s="2" customFormat="1" ht="51" customHeight="1" x14ac:dyDescent="0.3">
      <c r="A190" s="77" t="s">
        <v>412</v>
      </c>
      <c r="B190" s="34" t="s">
        <v>48</v>
      </c>
      <c r="C190" s="133">
        <f>6498*1.05*1.05*1.05</f>
        <v>7522.2472500000013</v>
      </c>
      <c r="D190" s="133">
        <f>220*1.05*1.05*1.05</f>
        <v>254.67750000000001</v>
      </c>
      <c r="E190" s="133"/>
      <c r="F190" s="133">
        <v>175</v>
      </c>
      <c r="G190" s="341"/>
      <c r="H190" s="149">
        <f>C190-D190+E190+F190+G190</f>
        <v>7442.5697500000015</v>
      </c>
    </row>
    <row r="191" spans="1:8" s="7" customFormat="1" ht="51" customHeight="1" thickBot="1" x14ac:dyDescent="0.35">
      <c r="A191" s="51" t="s">
        <v>277</v>
      </c>
      <c r="B191" s="23" t="s">
        <v>48</v>
      </c>
      <c r="C191" s="133">
        <f>6498*1.05*1.05*1.05</f>
        <v>7522.2472500000013</v>
      </c>
      <c r="D191" s="133">
        <f>220*1.05*1.05*1.05</f>
        <v>254.67750000000001</v>
      </c>
      <c r="E191" s="133"/>
      <c r="F191" s="133">
        <v>175</v>
      </c>
      <c r="G191" s="143"/>
      <c r="H191" s="133">
        <f>C191-D191+E191+F191+G191</f>
        <v>7442.5697500000015</v>
      </c>
    </row>
    <row r="192" spans="1:8" ht="25.5" customHeight="1" thickTop="1" thickBot="1" x14ac:dyDescent="0.35">
      <c r="A192" s="51"/>
      <c r="B192" s="126" t="s">
        <v>6</v>
      </c>
      <c r="C192" s="142">
        <f>SUM(C186:C191)</f>
        <v>37611.236250000009</v>
      </c>
      <c r="D192" s="142">
        <f t="shared" ref="D192:G192" si="36">SUM(D186:D191)</f>
        <v>1273.3875</v>
      </c>
      <c r="E192" s="142">
        <f>SUM(E186:E191)</f>
        <v>0</v>
      </c>
      <c r="F192" s="142">
        <f t="shared" si="36"/>
        <v>875</v>
      </c>
      <c r="G192" s="142">
        <f t="shared" si="36"/>
        <v>0</v>
      </c>
      <c r="H192" s="142">
        <f>SUM(H186:H191)</f>
        <v>37212.848750000005</v>
      </c>
    </row>
    <row r="193" spans="1:8" ht="25.5" customHeight="1" thickBot="1" x14ac:dyDescent="0.35">
      <c r="A193" s="51"/>
      <c r="B193" s="136" t="s">
        <v>215</v>
      </c>
      <c r="C193" s="137">
        <f>C192-[20]MADRE!$H$263</f>
        <v>0</v>
      </c>
      <c r="D193" s="137">
        <f>D192-[20]MADRE!$I$263</f>
        <v>0</v>
      </c>
      <c r="E193" s="137">
        <f>E192-[18]MADRE!$J$275</f>
        <v>0</v>
      </c>
      <c r="F193" s="137">
        <f>F192-[20]MADRE!$K$263</f>
        <v>0</v>
      </c>
      <c r="G193" s="137">
        <f>G192-[3]MADRE!$L$261</f>
        <v>0</v>
      </c>
      <c r="H193" s="137">
        <v>0</v>
      </c>
    </row>
    <row r="194" spans="1:8" ht="14.25" customHeight="1" x14ac:dyDescent="0.3">
      <c r="A194" s="332" t="s">
        <v>210</v>
      </c>
      <c r="B194" s="198"/>
      <c r="C194" s="199"/>
      <c r="D194" s="199"/>
      <c r="E194" s="199"/>
      <c r="F194" s="199"/>
      <c r="G194" s="143"/>
      <c r="H194" s="199"/>
    </row>
    <row r="195" spans="1:8" ht="51" customHeight="1" x14ac:dyDescent="0.3">
      <c r="A195" s="51" t="s">
        <v>49</v>
      </c>
      <c r="B195" s="23" t="s">
        <v>51</v>
      </c>
      <c r="C195" s="133">
        <f>6720.84*1.05</f>
        <v>7056.8820000000005</v>
      </c>
      <c r="D195" s="133">
        <f>201.76*1.05</f>
        <v>211.84800000000001</v>
      </c>
      <c r="E195" s="133"/>
      <c r="F195" s="133">
        <v>153</v>
      </c>
      <c r="G195" s="143"/>
      <c r="H195" s="133">
        <f>C195-D195+F195+G195</f>
        <v>6998.0340000000006</v>
      </c>
    </row>
    <row r="196" spans="1:8" ht="51" customHeight="1" x14ac:dyDescent="0.3">
      <c r="A196" s="82" t="s">
        <v>256</v>
      </c>
      <c r="B196" s="35" t="s">
        <v>51</v>
      </c>
      <c r="C196" s="133">
        <f>6096*1.05*1.05*1.05</f>
        <v>7056.8820000000005</v>
      </c>
      <c r="D196" s="133">
        <f>183*1.05*1.05*1.05</f>
        <v>211.84537500000002</v>
      </c>
      <c r="E196" s="201"/>
      <c r="F196" s="167">
        <v>153</v>
      </c>
      <c r="G196" s="143"/>
      <c r="H196" s="133">
        <f t="shared" ref="H196:H203" si="37">C196-D196+F196+G196</f>
        <v>6998.0366250000006</v>
      </c>
    </row>
    <row r="197" spans="1:8" ht="51" customHeight="1" x14ac:dyDescent="0.3">
      <c r="A197" s="76" t="s">
        <v>54</v>
      </c>
      <c r="B197" s="34" t="s">
        <v>51</v>
      </c>
      <c r="C197" s="133">
        <f>6096*1.05*1.05*1.05</f>
        <v>7056.8820000000005</v>
      </c>
      <c r="D197" s="133">
        <f>183*1.05*1.05*1.05</f>
        <v>211.84537500000002</v>
      </c>
      <c r="E197" s="148"/>
      <c r="F197" s="145">
        <v>153</v>
      </c>
      <c r="G197" s="143"/>
      <c r="H197" s="133">
        <f t="shared" si="37"/>
        <v>6998.0366250000006</v>
      </c>
    </row>
    <row r="198" spans="1:8" s="7" customFormat="1" ht="51" customHeight="1" x14ac:dyDescent="0.3">
      <c r="A198" s="51" t="s">
        <v>50</v>
      </c>
      <c r="B198" s="23" t="s">
        <v>51</v>
      </c>
      <c r="C198" s="133">
        <f>6822.9*1.05*1.05</f>
        <v>7522.2472500000003</v>
      </c>
      <c r="D198" s="133">
        <f>231*1.05*1.05</f>
        <v>254.67750000000001</v>
      </c>
      <c r="E198" s="133"/>
      <c r="F198" s="133">
        <v>175</v>
      </c>
      <c r="G198" s="143"/>
      <c r="H198" s="133">
        <f t="shared" si="37"/>
        <v>7442.5697500000006</v>
      </c>
    </row>
    <row r="199" spans="1:8" ht="51" customHeight="1" x14ac:dyDescent="0.3">
      <c r="A199" s="77" t="s">
        <v>308</v>
      </c>
      <c r="B199" s="23" t="s">
        <v>51</v>
      </c>
      <c r="C199" s="133">
        <f>6400.8*1.05*1.05</f>
        <v>7056.8820000000005</v>
      </c>
      <c r="D199" s="133">
        <f>201.76*1.05</f>
        <v>211.84800000000001</v>
      </c>
      <c r="E199" s="202"/>
      <c r="F199" s="133">
        <v>153</v>
      </c>
      <c r="G199" s="143"/>
      <c r="H199" s="133">
        <f t="shared" si="37"/>
        <v>6998.0340000000006</v>
      </c>
    </row>
    <row r="200" spans="1:8" s="2" customFormat="1" ht="51" customHeight="1" x14ac:dyDescent="0.3">
      <c r="A200" s="77" t="s">
        <v>429</v>
      </c>
      <c r="B200" s="23" t="s">
        <v>51</v>
      </c>
      <c r="C200" s="133">
        <f>6400.8*1.05*1.05-5174</f>
        <v>1882.8820000000005</v>
      </c>
      <c r="D200" s="133">
        <f>201.76*1.05</f>
        <v>211.84800000000001</v>
      </c>
      <c r="E200" s="133"/>
      <c r="F200" s="133">
        <v>153</v>
      </c>
      <c r="G200" s="143"/>
      <c r="H200" s="133">
        <f t="shared" si="37"/>
        <v>1824.0340000000006</v>
      </c>
    </row>
    <row r="201" spans="1:8" s="2" customFormat="1" ht="51" customHeight="1" x14ac:dyDescent="0.3">
      <c r="A201" s="77" t="s">
        <v>450</v>
      </c>
      <c r="B201" s="23" t="s">
        <v>51</v>
      </c>
      <c r="C201" s="133">
        <f>6400.8*1.05*1.05</f>
        <v>7056.8820000000005</v>
      </c>
      <c r="D201" s="133">
        <f>201.76*1.05</f>
        <v>211.84800000000001</v>
      </c>
      <c r="E201" s="133"/>
      <c r="F201" s="133">
        <v>153</v>
      </c>
      <c r="G201" s="143"/>
      <c r="H201" s="133">
        <f t="shared" si="37"/>
        <v>6998.0340000000006</v>
      </c>
    </row>
    <row r="202" spans="1:8" ht="51" customHeight="1" x14ac:dyDescent="0.3">
      <c r="A202" s="77" t="s">
        <v>362</v>
      </c>
      <c r="B202" s="23" t="s">
        <v>51</v>
      </c>
      <c r="C202" s="133">
        <f>6400.8*1.05*1.05</f>
        <v>7056.8820000000005</v>
      </c>
      <c r="D202" s="133">
        <f>201.76*1.05</f>
        <v>211.84800000000001</v>
      </c>
      <c r="E202" s="202"/>
      <c r="F202" s="133">
        <v>153</v>
      </c>
      <c r="G202" s="143"/>
      <c r="H202" s="133">
        <f t="shared" si="37"/>
        <v>6998.0340000000006</v>
      </c>
    </row>
    <row r="203" spans="1:8" ht="51" customHeight="1" thickBot="1" x14ac:dyDescent="0.35">
      <c r="A203" s="61" t="s">
        <v>58</v>
      </c>
      <c r="B203" s="36" t="s">
        <v>51</v>
      </c>
      <c r="C203" s="133">
        <f>6720.84*1.05*1.05</f>
        <v>7409.7261000000008</v>
      </c>
      <c r="D203" s="133">
        <f>183*1.05*1.05*1.05</f>
        <v>211.84537500000002</v>
      </c>
      <c r="E203" s="133"/>
      <c r="F203" s="133">
        <v>157</v>
      </c>
      <c r="G203" s="143"/>
      <c r="H203" s="133">
        <f t="shared" si="37"/>
        <v>7354.8807250000009</v>
      </c>
    </row>
    <row r="204" spans="1:8" ht="25.5" customHeight="1" thickTop="1" thickBot="1" x14ac:dyDescent="0.35">
      <c r="A204" s="53"/>
      <c r="B204" s="126" t="s">
        <v>6</v>
      </c>
      <c r="C204" s="142">
        <f>SUM(C195:C203)</f>
        <v>59156.147349999992</v>
      </c>
      <c r="D204" s="142">
        <f t="shared" ref="D204:G204" si="38">SUM(D195:D203)</f>
        <v>1949.4536250000001</v>
      </c>
      <c r="E204" s="142">
        <f t="shared" si="38"/>
        <v>0</v>
      </c>
      <c r="F204" s="142">
        <f t="shared" si="38"/>
        <v>1403</v>
      </c>
      <c r="G204" s="142">
        <f t="shared" si="38"/>
        <v>0</v>
      </c>
      <c r="H204" s="142">
        <f>SUM(H195:H203)</f>
        <v>58609.693725000005</v>
      </c>
    </row>
    <row r="205" spans="1:8" ht="25.5" customHeight="1" thickBot="1" x14ac:dyDescent="0.35">
      <c r="A205" s="53"/>
      <c r="B205" s="136" t="s">
        <v>215</v>
      </c>
      <c r="C205" s="137">
        <f>C204-[1]MADRE!$H$274</f>
        <v>0</v>
      </c>
      <c r="D205" s="137">
        <v>0</v>
      </c>
      <c r="E205" s="137">
        <f>E204-[23]MADRE!$J$283</f>
        <v>0</v>
      </c>
      <c r="F205" s="137">
        <f>F204-[4]MADRE!$K$276</f>
        <v>0</v>
      </c>
      <c r="G205" s="137">
        <f>G204-[3]MADRE!$L$273</f>
        <v>0</v>
      </c>
      <c r="H205" s="137">
        <v>0</v>
      </c>
    </row>
    <row r="206" spans="1:8" ht="14.25" customHeight="1" x14ac:dyDescent="0.3">
      <c r="A206" s="81" t="s">
        <v>211</v>
      </c>
      <c r="B206" s="198"/>
      <c r="C206" s="199"/>
      <c r="D206" s="199"/>
      <c r="E206" s="199"/>
      <c r="F206" s="199"/>
      <c r="G206" s="143"/>
      <c r="H206" s="199"/>
    </row>
    <row r="207" spans="1:8" ht="51" customHeight="1" x14ac:dyDescent="0.3">
      <c r="A207" s="61" t="s">
        <v>56</v>
      </c>
      <c r="B207" s="120" t="s">
        <v>55</v>
      </c>
      <c r="C207" s="133">
        <f>5545*1.05*1.05*1.05</f>
        <v>6419.0306250000003</v>
      </c>
      <c r="D207" s="133">
        <f>99*1.05*1.05*1.05</f>
        <v>114.60487500000001</v>
      </c>
      <c r="E207" s="145"/>
      <c r="F207" s="145">
        <v>126</v>
      </c>
      <c r="G207" s="341"/>
      <c r="H207" s="149">
        <f>C207-D207+E207+F207+G207</f>
        <v>6430.4257500000003</v>
      </c>
    </row>
    <row r="208" spans="1:8" ht="51" customHeight="1" x14ac:dyDescent="0.3">
      <c r="A208" s="51" t="s">
        <v>385</v>
      </c>
      <c r="B208" s="23" t="s">
        <v>55</v>
      </c>
      <c r="C208" s="133">
        <f>5545*1.05*1.05*1.05</f>
        <v>6419.0306250000003</v>
      </c>
      <c r="D208" s="133">
        <f t="shared" ref="D208:D220" si="39">99*1.05*1.05*1.05</f>
        <v>114.60487500000001</v>
      </c>
      <c r="E208" s="133"/>
      <c r="F208" s="133">
        <v>126</v>
      </c>
      <c r="G208" s="341"/>
      <c r="H208" s="149">
        <f>C208-D208+E208+F208+G208</f>
        <v>6430.4257500000003</v>
      </c>
    </row>
    <row r="209" spans="1:8" s="2" customFormat="1" ht="51" customHeight="1" x14ac:dyDescent="0.3">
      <c r="A209" s="77" t="s">
        <v>418</v>
      </c>
      <c r="B209" s="9" t="s">
        <v>55</v>
      </c>
      <c r="C209" s="133">
        <f t="shared" ref="C209:C220" si="40">5822.25*1.05*1.05</f>
        <v>6419.0306250000003</v>
      </c>
      <c r="D209" s="133">
        <f t="shared" si="39"/>
        <v>114.60487500000001</v>
      </c>
      <c r="E209" s="133"/>
      <c r="F209" s="133">
        <v>126</v>
      </c>
      <c r="G209" s="341"/>
      <c r="H209" s="149">
        <f t="shared" ref="H209:H220" si="41">C209-D209+E209+F209+G209</f>
        <v>6430.4257500000003</v>
      </c>
    </row>
    <row r="210" spans="1:8" s="2" customFormat="1" ht="51" customHeight="1" x14ac:dyDescent="0.3">
      <c r="A210" s="77" t="s">
        <v>408</v>
      </c>
      <c r="B210" s="9" t="s">
        <v>55</v>
      </c>
      <c r="C210" s="133">
        <f t="shared" si="40"/>
        <v>6419.0306250000003</v>
      </c>
      <c r="D210" s="133">
        <f t="shared" si="39"/>
        <v>114.60487500000001</v>
      </c>
      <c r="E210" s="133"/>
      <c r="F210" s="133">
        <v>126</v>
      </c>
      <c r="G210" s="341"/>
      <c r="H210" s="149">
        <f t="shared" si="41"/>
        <v>6430.4257500000003</v>
      </c>
    </row>
    <row r="211" spans="1:8" s="2" customFormat="1" ht="51" customHeight="1" x14ac:dyDescent="0.3">
      <c r="A211" s="77" t="s">
        <v>409</v>
      </c>
      <c r="B211" s="9" t="s">
        <v>55</v>
      </c>
      <c r="C211" s="133">
        <f t="shared" si="40"/>
        <v>6419.0306250000003</v>
      </c>
      <c r="D211" s="133">
        <f t="shared" si="39"/>
        <v>114.60487500000001</v>
      </c>
      <c r="E211" s="133"/>
      <c r="F211" s="133">
        <v>126</v>
      </c>
      <c r="G211" s="341"/>
      <c r="H211" s="149">
        <f t="shared" si="41"/>
        <v>6430.4257500000003</v>
      </c>
    </row>
    <row r="212" spans="1:8" s="2" customFormat="1" ht="51" customHeight="1" x14ac:dyDescent="0.3">
      <c r="A212" s="77" t="s">
        <v>414</v>
      </c>
      <c r="B212" s="9" t="s">
        <v>55</v>
      </c>
      <c r="C212" s="133">
        <f t="shared" si="40"/>
        <v>6419.0306250000003</v>
      </c>
      <c r="D212" s="133">
        <f t="shared" si="39"/>
        <v>114.60487500000001</v>
      </c>
      <c r="E212" s="133"/>
      <c r="F212" s="133">
        <v>126</v>
      </c>
      <c r="G212" s="341"/>
      <c r="H212" s="149">
        <f t="shared" si="41"/>
        <v>6430.4257500000003</v>
      </c>
    </row>
    <row r="213" spans="1:8" s="2" customFormat="1" ht="51" customHeight="1" x14ac:dyDescent="0.3">
      <c r="A213" s="77" t="s">
        <v>451</v>
      </c>
      <c r="B213" s="9" t="s">
        <v>55</v>
      </c>
      <c r="C213" s="133">
        <f t="shared" si="40"/>
        <v>6419.0306250000003</v>
      </c>
      <c r="D213" s="133">
        <f t="shared" si="39"/>
        <v>114.60487500000001</v>
      </c>
      <c r="E213" s="133"/>
      <c r="F213" s="133">
        <v>126</v>
      </c>
      <c r="G213" s="341"/>
      <c r="H213" s="149">
        <f t="shared" si="41"/>
        <v>6430.4257500000003</v>
      </c>
    </row>
    <row r="214" spans="1:8" s="2" customFormat="1" ht="51" customHeight="1" x14ac:dyDescent="0.3">
      <c r="A214" s="77" t="s">
        <v>430</v>
      </c>
      <c r="B214" s="9" t="s">
        <v>55</v>
      </c>
      <c r="C214" s="133">
        <f t="shared" si="40"/>
        <v>6419.0306250000003</v>
      </c>
      <c r="D214" s="133">
        <f t="shared" si="39"/>
        <v>114.60487500000001</v>
      </c>
      <c r="E214" s="133"/>
      <c r="F214" s="133">
        <v>126</v>
      </c>
      <c r="G214" s="341"/>
      <c r="H214" s="149">
        <f t="shared" si="41"/>
        <v>6430.4257500000003</v>
      </c>
    </row>
    <row r="215" spans="1:8" s="2" customFormat="1" ht="51" customHeight="1" x14ac:dyDescent="0.3">
      <c r="A215" s="77" t="s">
        <v>459</v>
      </c>
      <c r="B215" s="9" t="s">
        <v>55</v>
      </c>
      <c r="C215" s="133">
        <f t="shared" si="40"/>
        <v>6419.0306250000003</v>
      </c>
      <c r="D215" s="133">
        <f t="shared" si="39"/>
        <v>114.60487500000001</v>
      </c>
      <c r="E215" s="133"/>
      <c r="F215" s="133">
        <v>126</v>
      </c>
      <c r="G215" s="341"/>
      <c r="H215" s="149">
        <f t="shared" si="41"/>
        <v>6430.4257500000003</v>
      </c>
    </row>
    <row r="216" spans="1:8" s="2" customFormat="1" ht="51" customHeight="1" x14ac:dyDescent="0.3">
      <c r="A216" s="77" t="s">
        <v>458</v>
      </c>
      <c r="B216" s="9" t="s">
        <v>55</v>
      </c>
      <c r="C216" s="133">
        <f t="shared" si="40"/>
        <v>6419.0306250000003</v>
      </c>
      <c r="D216" s="133">
        <f t="shared" si="39"/>
        <v>114.60487500000001</v>
      </c>
      <c r="E216" s="133"/>
      <c r="F216" s="133">
        <v>126</v>
      </c>
      <c r="G216" s="341"/>
      <c r="H216" s="149">
        <f t="shared" si="41"/>
        <v>6430.4257500000003</v>
      </c>
    </row>
    <row r="217" spans="1:8" s="2" customFormat="1" ht="51" customHeight="1" x14ac:dyDescent="0.3">
      <c r="A217" s="77" t="s">
        <v>441</v>
      </c>
      <c r="B217" s="9" t="s">
        <v>55</v>
      </c>
      <c r="C217" s="133">
        <f t="shared" si="40"/>
        <v>6419.0306250000003</v>
      </c>
      <c r="D217" s="133">
        <f t="shared" si="39"/>
        <v>114.60487500000001</v>
      </c>
      <c r="E217" s="133"/>
      <c r="F217" s="133">
        <v>126</v>
      </c>
      <c r="G217" s="341"/>
      <c r="H217" s="149">
        <f t="shared" si="41"/>
        <v>6430.4257500000003</v>
      </c>
    </row>
    <row r="218" spans="1:8" s="2" customFormat="1" ht="51" customHeight="1" x14ac:dyDescent="0.3">
      <c r="A218" s="77" t="s">
        <v>447</v>
      </c>
      <c r="B218" s="9" t="s">
        <v>55</v>
      </c>
      <c r="C218" s="133">
        <f t="shared" si="40"/>
        <v>6419.0306250000003</v>
      </c>
      <c r="D218" s="133">
        <f t="shared" si="39"/>
        <v>114.60487500000001</v>
      </c>
      <c r="E218" s="133"/>
      <c r="F218" s="133">
        <v>126</v>
      </c>
      <c r="G218" s="341"/>
      <c r="H218" s="149">
        <f t="shared" si="41"/>
        <v>6430.4257500000003</v>
      </c>
    </row>
    <row r="219" spans="1:8" s="2" customFormat="1" ht="51" customHeight="1" x14ac:dyDescent="0.3">
      <c r="A219" s="358" t="s">
        <v>466</v>
      </c>
      <c r="B219" s="9" t="s">
        <v>55</v>
      </c>
      <c r="C219" s="133">
        <f t="shared" si="40"/>
        <v>6419.0306250000003</v>
      </c>
      <c r="D219" s="133">
        <f t="shared" si="39"/>
        <v>114.60487500000001</v>
      </c>
      <c r="E219" s="133"/>
      <c r="F219" s="133">
        <v>126</v>
      </c>
      <c r="G219" s="341"/>
      <c r="H219" s="149">
        <f t="shared" si="41"/>
        <v>6430.4257500000003</v>
      </c>
    </row>
    <row r="220" spans="1:8" s="2" customFormat="1" ht="51" customHeight="1" thickBot="1" x14ac:dyDescent="0.35">
      <c r="A220" s="77" t="s">
        <v>333</v>
      </c>
      <c r="B220" s="9" t="s">
        <v>55</v>
      </c>
      <c r="C220" s="280">
        <f t="shared" si="40"/>
        <v>6419.0306250000003</v>
      </c>
      <c r="D220" s="280">
        <f t="shared" si="39"/>
        <v>114.60487500000001</v>
      </c>
      <c r="E220" s="280"/>
      <c r="F220" s="277">
        <v>126</v>
      </c>
      <c r="G220" s="356"/>
      <c r="H220" s="360">
        <f t="shared" si="41"/>
        <v>6430.4257500000003</v>
      </c>
    </row>
    <row r="221" spans="1:8" ht="25.5" customHeight="1" thickTop="1" x14ac:dyDescent="0.3">
      <c r="A221" s="275"/>
      <c r="B221" s="126" t="s">
        <v>6</v>
      </c>
      <c r="C221" s="209">
        <f t="shared" ref="C221:H221" si="42">SUM(C207:C220)</f>
        <v>89866.428750000006</v>
      </c>
      <c r="D221" s="209">
        <f t="shared" si="42"/>
        <v>1604.4682500000001</v>
      </c>
      <c r="E221" s="209">
        <f t="shared" si="42"/>
        <v>0</v>
      </c>
      <c r="F221" s="209">
        <f t="shared" si="42"/>
        <v>1764</v>
      </c>
      <c r="G221" s="209">
        <f t="shared" si="42"/>
        <v>0</v>
      </c>
      <c r="H221" s="209">
        <f t="shared" si="42"/>
        <v>90025.960500000001</v>
      </c>
    </row>
    <row r="222" spans="1:8" ht="25.5" customHeight="1" x14ac:dyDescent="0.3">
      <c r="A222" s="83"/>
      <c r="B222" s="296" t="s">
        <v>215</v>
      </c>
      <c r="C222" s="297">
        <f>C221-[20]MADRE!$H$293</f>
        <v>0</v>
      </c>
      <c r="D222" s="297">
        <f>D221-[20]MADRE!$I$293</f>
        <v>0</v>
      </c>
      <c r="E222" s="297">
        <f>SUM(E207:E220)</f>
        <v>0</v>
      </c>
      <c r="F222" s="297">
        <f>F221-[20]MADRE!$K$293</f>
        <v>0</v>
      </c>
      <c r="G222" s="297">
        <f>G221-[3]MADRE!$L$293</f>
        <v>0</v>
      </c>
      <c r="H222" s="297">
        <f>H221-[20]MADRE!$M$293</f>
        <v>0</v>
      </c>
    </row>
    <row r="223" spans="1:8" ht="15" customHeight="1" x14ac:dyDescent="0.3">
      <c r="A223" s="40" t="s">
        <v>187</v>
      </c>
      <c r="B223" s="19"/>
      <c r="C223" s="19"/>
      <c r="D223" s="19"/>
      <c r="E223" s="19"/>
      <c r="F223" s="19"/>
      <c r="G223" s="364"/>
      <c r="H223" s="19"/>
    </row>
    <row r="224" spans="1:8" ht="47.25" customHeight="1" x14ac:dyDescent="0.3">
      <c r="A224" s="53" t="s">
        <v>306</v>
      </c>
      <c r="B224" s="10" t="s">
        <v>307</v>
      </c>
      <c r="C224" s="133">
        <f>7408*1.04*1.05*1.05</f>
        <v>8494.0128000000022</v>
      </c>
      <c r="D224" s="133">
        <f>336*1.04*1.05*1.05</f>
        <v>385.25760000000002</v>
      </c>
      <c r="E224" s="133"/>
      <c r="F224" s="133"/>
      <c r="G224" s="341"/>
      <c r="H224" s="147">
        <f>C224-D224+E224+G224</f>
        <v>8108.7552000000023</v>
      </c>
    </row>
    <row r="225" spans="1:8" ht="47.25" customHeight="1" x14ac:dyDescent="0.3">
      <c r="A225" s="53" t="s">
        <v>443</v>
      </c>
      <c r="B225" s="10" t="s">
        <v>307</v>
      </c>
      <c r="C225" s="133">
        <f>6690*1.05</f>
        <v>7024.5</v>
      </c>
      <c r="D225" s="133">
        <f>190*1.05</f>
        <v>199.5</v>
      </c>
      <c r="E225" s="133"/>
      <c r="F225" s="133"/>
      <c r="G225" s="341"/>
      <c r="H225" s="147">
        <f>C225-D225+E225+G225</f>
        <v>6825</v>
      </c>
    </row>
    <row r="226" spans="1:8" s="2" customFormat="1" ht="51" customHeight="1" thickBot="1" x14ac:dyDescent="0.35">
      <c r="A226" s="66" t="s">
        <v>121</v>
      </c>
      <c r="B226" s="319" t="s">
        <v>440</v>
      </c>
      <c r="C226" s="133">
        <f>7215*1.05*1.05*1.05</f>
        <v>8352.2643750000007</v>
      </c>
      <c r="D226" s="133">
        <f>220*1.05*1.05*1.05</f>
        <v>254.67750000000001</v>
      </c>
      <c r="E226" s="145"/>
      <c r="F226" s="145"/>
      <c r="G226" s="341"/>
      <c r="H226" s="133">
        <f>C226-D226+E226+G226</f>
        <v>8097.5868750000009</v>
      </c>
    </row>
    <row r="227" spans="1:8" ht="23.25" customHeight="1" thickTop="1" thickBot="1" x14ac:dyDescent="0.35">
      <c r="A227" s="78"/>
      <c r="B227" s="37" t="s">
        <v>6</v>
      </c>
      <c r="C227" s="142">
        <f>SUM(C224:C226)</f>
        <v>23870.777175000003</v>
      </c>
      <c r="D227" s="142">
        <f>SUM(D224:D226)</f>
        <v>839.43510000000003</v>
      </c>
      <c r="E227" s="142">
        <f>SUM(E224:E224)</f>
        <v>0</v>
      </c>
      <c r="F227" s="142">
        <f>SUM(F224:F224)</f>
        <v>0</v>
      </c>
      <c r="G227" s="142">
        <f>SUM(G224:G224)</f>
        <v>0</v>
      </c>
      <c r="H227" s="142">
        <f>SUM(H224:H226)</f>
        <v>23031.342075000004</v>
      </c>
    </row>
    <row r="228" spans="1:8" ht="28.5" customHeight="1" thickBot="1" x14ac:dyDescent="0.35">
      <c r="A228" s="78"/>
      <c r="B228" s="136" t="s">
        <v>215</v>
      </c>
      <c r="C228" s="137">
        <f>C227-[5]MADRE!$H$302</f>
        <v>0</v>
      </c>
      <c r="D228" s="137">
        <f>D227-[5]MADRE!$I$302</f>
        <v>0</v>
      </c>
      <c r="E228" s="137">
        <f>E227-[2]MADRE!J$306</f>
        <v>0</v>
      </c>
      <c r="F228" s="137">
        <f>F227-[2]MADRE!K$306</f>
        <v>0</v>
      </c>
      <c r="G228" s="137">
        <f>G227-[3]MADRE!$L$302</f>
        <v>0</v>
      </c>
      <c r="H228" s="137">
        <f>H227-[3]MADRE!$M$302</f>
        <v>0</v>
      </c>
    </row>
    <row r="229" spans="1:8" ht="15.75" customHeight="1" x14ac:dyDescent="0.3">
      <c r="A229" s="40" t="s">
        <v>295</v>
      </c>
      <c r="B229" s="204"/>
      <c r="C229" s="200"/>
      <c r="D229" s="200"/>
      <c r="E229" s="200"/>
      <c r="F229" s="200"/>
      <c r="G229" s="133"/>
      <c r="H229" s="200"/>
    </row>
    <row r="230" spans="1:8" ht="24" customHeight="1" thickBot="1" x14ac:dyDescent="0.35">
      <c r="A230" s="51"/>
      <c r="B230" s="23"/>
      <c r="C230" s="133"/>
      <c r="D230" s="133"/>
      <c r="E230" s="133"/>
      <c r="F230" s="133"/>
      <c r="G230" s="143"/>
      <c r="H230" s="133">
        <f>C230-D230+E230</f>
        <v>0</v>
      </c>
    </row>
    <row r="231" spans="1:8" ht="25.5" customHeight="1" thickTop="1" thickBot="1" x14ac:dyDescent="0.35">
      <c r="A231" s="78"/>
      <c r="B231" s="37" t="s">
        <v>6</v>
      </c>
      <c r="C231" s="142">
        <f t="shared" ref="C231:H231" si="43">SUM(C230:C230)</f>
        <v>0</v>
      </c>
      <c r="D231" s="142">
        <f t="shared" si="43"/>
        <v>0</v>
      </c>
      <c r="E231" s="142">
        <f>SUM(E230:E230)</f>
        <v>0</v>
      </c>
      <c r="F231" s="142">
        <f>SUM(F230:F230)</f>
        <v>0</v>
      </c>
      <c r="G231" s="142">
        <f>SUM(G230:G230)</f>
        <v>0</v>
      </c>
      <c r="H231" s="142">
        <f t="shared" si="43"/>
        <v>0</v>
      </c>
    </row>
    <row r="232" spans="1:8" ht="25.5" customHeight="1" thickBot="1" x14ac:dyDescent="0.35">
      <c r="A232" s="78"/>
      <c r="B232" s="136" t="s">
        <v>215</v>
      </c>
      <c r="C232" s="137">
        <f>C231-[17]MADRE!$H$320</f>
        <v>0</v>
      </c>
      <c r="D232" s="137">
        <f>D231-[2]MADRE!I$313</f>
        <v>0</v>
      </c>
      <c r="E232" s="137">
        <f>E231-[17]MADRE!$J$320</f>
        <v>0</v>
      </c>
      <c r="F232" s="137">
        <f>F231-[2]MADRE!K$313</f>
        <v>0</v>
      </c>
      <c r="G232" s="137">
        <f>G231-[2]MADRE!L$313</f>
        <v>0</v>
      </c>
      <c r="H232" s="137">
        <f>H231-[17]MADRE!$M$320</f>
        <v>0</v>
      </c>
    </row>
    <row r="233" spans="1:8" ht="15" customHeight="1" x14ac:dyDescent="0.3">
      <c r="A233" s="12" t="s">
        <v>194</v>
      </c>
      <c r="B233" s="15"/>
      <c r="C233" s="15"/>
      <c r="D233" s="15"/>
      <c r="E233" s="15"/>
      <c r="F233" s="15"/>
      <c r="G233" s="337"/>
      <c r="H233" s="15"/>
    </row>
    <row r="234" spans="1:8" ht="51" customHeight="1" x14ac:dyDescent="0.3">
      <c r="A234" s="314" t="s">
        <v>76</v>
      </c>
      <c r="B234" s="315" t="s">
        <v>432</v>
      </c>
      <c r="C234" s="313">
        <f>7028.8*1.05*1.05</f>
        <v>7749.2520000000013</v>
      </c>
      <c r="D234" s="313">
        <f>220*1.04*1.05*1.05</f>
        <v>252.25200000000001</v>
      </c>
      <c r="E234" s="313"/>
      <c r="F234" s="313"/>
      <c r="G234" s="368"/>
      <c r="H234" s="313">
        <f>C234-D234+G234</f>
        <v>7497.0000000000009</v>
      </c>
    </row>
    <row r="235" spans="1:8" ht="51" customHeight="1" x14ac:dyDescent="0.3">
      <c r="A235" s="320" t="s">
        <v>364</v>
      </c>
      <c r="B235" s="321" t="s">
        <v>452</v>
      </c>
      <c r="C235" s="313">
        <f>10038*1.04*1.05*1.05</f>
        <v>11509.570800000001</v>
      </c>
      <c r="D235" s="313">
        <f>441*1.04*1.05*1.05</f>
        <v>505.65060000000011</v>
      </c>
      <c r="E235" s="369"/>
      <c r="F235" s="369"/>
      <c r="G235" s="368"/>
      <c r="H235" s="313">
        <f>C235-D235+G235</f>
        <v>11003.9202</v>
      </c>
    </row>
    <row r="236" spans="1:8" ht="51" customHeight="1" x14ac:dyDescent="0.3">
      <c r="A236" s="77" t="s">
        <v>62</v>
      </c>
      <c r="B236" s="124" t="s">
        <v>363</v>
      </c>
      <c r="C236" s="133">
        <f>5800*1.04*1.05*1.05</f>
        <v>6650.2800000000007</v>
      </c>
      <c r="D236" s="133">
        <f>175*1.04*1.05*1.05</f>
        <v>200.655</v>
      </c>
      <c r="E236" s="146"/>
      <c r="F236" s="146"/>
      <c r="G236" s="143"/>
      <c r="H236" s="133">
        <f t="shared" ref="H236:H243" si="44">C236-D236+E236+G236</f>
        <v>6449.6250000000009</v>
      </c>
    </row>
    <row r="237" spans="1:8" s="7" customFormat="1" ht="51" customHeight="1" x14ac:dyDescent="0.3">
      <c r="A237" s="77" t="s">
        <v>328</v>
      </c>
      <c r="B237" s="124" t="s">
        <v>329</v>
      </c>
      <c r="C237" s="133">
        <f>5953*1.04*1.05*1.05</f>
        <v>6825.7098000000005</v>
      </c>
      <c r="D237" s="133">
        <f>183*1.04*1.05*1.05</f>
        <v>209.82780000000002</v>
      </c>
      <c r="E237" s="146"/>
      <c r="F237" s="146"/>
      <c r="G237" s="143"/>
      <c r="H237" s="133">
        <f t="shared" si="44"/>
        <v>6615.8820000000005</v>
      </c>
    </row>
    <row r="238" spans="1:8" ht="51" customHeight="1" x14ac:dyDescent="0.3">
      <c r="A238" s="76" t="s">
        <v>66</v>
      </c>
      <c r="B238" s="31" t="s">
        <v>63</v>
      </c>
      <c r="C238" s="133">
        <f>3864*1.05*1.05*1.05</f>
        <v>4473.063000000001</v>
      </c>
      <c r="D238" s="205"/>
      <c r="E238" s="151">
        <v>136</v>
      </c>
      <c r="F238" s="151"/>
      <c r="G238" s="143"/>
      <c r="H238" s="133">
        <f t="shared" si="44"/>
        <v>4609.063000000001</v>
      </c>
    </row>
    <row r="239" spans="1:8" ht="51" customHeight="1" x14ac:dyDescent="0.3">
      <c r="A239" s="370" t="s">
        <v>381</v>
      </c>
      <c r="B239" s="371" t="s">
        <v>63</v>
      </c>
      <c r="C239" s="313">
        <v>0</v>
      </c>
      <c r="D239" s="313"/>
      <c r="E239" s="372">
        <v>0</v>
      </c>
      <c r="F239" s="372"/>
      <c r="G239" s="368"/>
      <c r="H239" s="313">
        <f t="shared" si="44"/>
        <v>0</v>
      </c>
    </row>
    <row r="240" spans="1:8" ht="51" customHeight="1" x14ac:dyDescent="0.3">
      <c r="A240" s="51" t="s">
        <v>67</v>
      </c>
      <c r="B240" s="124" t="s">
        <v>64</v>
      </c>
      <c r="C240" s="133">
        <f>5478*1.04*1.05*1.05</f>
        <v>6281.0748000000012</v>
      </c>
      <c r="D240" s="174">
        <f>102.96*1.05*1.05</f>
        <v>113.5134</v>
      </c>
      <c r="E240" s="274"/>
      <c r="F240" s="146"/>
      <c r="G240" s="143"/>
      <c r="H240" s="133">
        <f t="shared" si="44"/>
        <v>6167.5614000000014</v>
      </c>
    </row>
    <row r="241" spans="1:204" s="335" customFormat="1" ht="51" customHeight="1" x14ac:dyDescent="0.3">
      <c r="A241" s="53" t="s">
        <v>88</v>
      </c>
      <c r="B241" s="31" t="s">
        <v>10</v>
      </c>
      <c r="C241" s="298">
        <f>8268*1.04*1.05*1.05</f>
        <v>9480.0888000000014</v>
      </c>
      <c r="D241" s="298">
        <f>367*1.04*1.05*1.05</f>
        <v>420.80220000000003</v>
      </c>
      <c r="E241" s="274"/>
      <c r="F241" s="151"/>
      <c r="G241" s="143"/>
      <c r="H241" s="133">
        <f t="shared" si="44"/>
        <v>9059.2866000000013</v>
      </c>
    </row>
    <row r="242" spans="1:204" s="5" customFormat="1" ht="51" customHeight="1" x14ac:dyDescent="0.3">
      <c r="A242" s="53" t="s">
        <v>230</v>
      </c>
      <c r="B242" s="125" t="s">
        <v>258</v>
      </c>
      <c r="C242" s="133">
        <f>4006*1.05*1.05*1.05</f>
        <v>4637.4457500000008</v>
      </c>
      <c r="D242" s="133"/>
      <c r="E242" s="133">
        <v>90</v>
      </c>
      <c r="F242" s="25"/>
      <c r="G242" s="143"/>
      <c r="H242" s="133">
        <f t="shared" si="44"/>
        <v>4727.4457500000008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</row>
    <row r="243" spans="1:204" s="5" customFormat="1" ht="51" customHeight="1" x14ac:dyDescent="0.3">
      <c r="A243" s="53" t="s">
        <v>281</v>
      </c>
      <c r="B243" s="22" t="s">
        <v>258</v>
      </c>
      <c r="C243" s="133">
        <f>3910*1.05</f>
        <v>4105.5</v>
      </c>
      <c r="D243" s="133"/>
      <c r="E243" s="133">
        <v>90</v>
      </c>
      <c r="F243" s="25"/>
      <c r="G243" s="143"/>
      <c r="H243" s="133">
        <f t="shared" si="44"/>
        <v>4195.5</v>
      </c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</row>
    <row r="244" spans="1:204" s="5" customFormat="1" ht="51" customHeight="1" x14ac:dyDescent="0.3">
      <c r="A244" s="84" t="s">
        <v>315</v>
      </c>
      <c r="B244" s="10" t="s">
        <v>258</v>
      </c>
      <c r="C244" s="133">
        <f>4191.93*1.05</f>
        <v>4401.5265000000009</v>
      </c>
      <c r="D244" s="133"/>
      <c r="E244" s="134">
        <v>90</v>
      </c>
      <c r="F244" s="134"/>
      <c r="G244" s="143"/>
      <c r="H244" s="133">
        <f t="shared" ref="H244:H246" si="45">C244-D244+E244+G244</f>
        <v>4491.5265000000009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</row>
    <row r="245" spans="1:204" s="5" customFormat="1" ht="51" customHeight="1" x14ac:dyDescent="0.3">
      <c r="A245" s="84" t="s">
        <v>318</v>
      </c>
      <c r="B245" s="10" t="s">
        <v>258</v>
      </c>
      <c r="C245" s="133">
        <f>4065.43*1.05</f>
        <v>4268.7015000000001</v>
      </c>
      <c r="D245" s="133"/>
      <c r="E245" s="134">
        <v>90</v>
      </c>
      <c r="F245" s="134"/>
      <c r="G245" s="143"/>
      <c r="H245" s="133">
        <f t="shared" si="45"/>
        <v>4358.7015000000001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</row>
    <row r="246" spans="1:204" s="5" customFormat="1" ht="51" customHeight="1" thickBot="1" x14ac:dyDescent="0.35">
      <c r="A246" s="84" t="s">
        <v>365</v>
      </c>
      <c r="B246" s="10" t="s">
        <v>258</v>
      </c>
      <c r="C246" s="133">
        <f>3370*1.05*1.05*1.05</f>
        <v>3901.1962500000004</v>
      </c>
      <c r="D246" s="133"/>
      <c r="E246" s="134">
        <v>90</v>
      </c>
      <c r="F246" s="134"/>
      <c r="G246" s="143"/>
      <c r="H246" s="133">
        <f t="shared" si="45"/>
        <v>3991.1962500000004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</row>
    <row r="247" spans="1:204" ht="25.5" customHeight="1" thickTop="1" thickBot="1" x14ac:dyDescent="0.35">
      <c r="A247" s="53"/>
      <c r="B247" s="207" t="s">
        <v>6</v>
      </c>
      <c r="C247" s="208">
        <f t="shared" ref="C247:G247" si="46">SUM(C234:C246)</f>
        <v>74283.409199999995</v>
      </c>
      <c r="D247" s="208">
        <f t="shared" si="46"/>
        <v>1702.7010000000002</v>
      </c>
      <c r="E247" s="208">
        <f t="shared" si="46"/>
        <v>586</v>
      </c>
      <c r="F247" s="208">
        <f t="shared" si="46"/>
        <v>0</v>
      </c>
      <c r="G247" s="210">
        <f t="shared" si="46"/>
        <v>0</v>
      </c>
      <c r="H247" s="208">
        <f>SUM(H234:H246)</f>
        <v>73166.708199999994</v>
      </c>
    </row>
    <row r="248" spans="1:204" ht="25.5" customHeight="1" thickBot="1" x14ac:dyDescent="0.35">
      <c r="A248" s="53"/>
      <c r="B248" s="136" t="s">
        <v>215</v>
      </c>
      <c r="C248" s="137">
        <f>C247-[3]MADRE!$H$328</f>
        <v>0</v>
      </c>
      <c r="D248" s="137">
        <f>D247-[5]MADRE!$I$328</f>
        <v>0</v>
      </c>
      <c r="E248" s="137">
        <f>E247-[3]MADRE!$J$328</f>
        <v>0</v>
      </c>
      <c r="F248" s="137">
        <f>F247-[24]MADRE!$K$337</f>
        <v>0</v>
      </c>
      <c r="G248" s="137">
        <f>G247-[3]MADRE!$L$328</f>
        <v>0</v>
      </c>
      <c r="H248" s="137">
        <f>H247-[3]MADRE!$M$328</f>
        <v>0</v>
      </c>
    </row>
    <row r="249" spans="1:204" ht="15" customHeight="1" x14ac:dyDescent="0.3">
      <c r="A249" s="42" t="s">
        <v>195</v>
      </c>
      <c r="B249" s="27"/>
      <c r="C249" s="27"/>
      <c r="D249" s="27"/>
      <c r="E249" s="27"/>
      <c r="F249" s="27"/>
      <c r="G249" s="215"/>
      <c r="H249" s="27"/>
    </row>
    <row r="251" spans="1:204" ht="51" customHeight="1" x14ac:dyDescent="0.3">
      <c r="A251" s="53" t="s">
        <v>77</v>
      </c>
      <c r="B251" s="10" t="s">
        <v>75</v>
      </c>
      <c r="C251" s="133">
        <f>6405*1.04*1.05*1.05</f>
        <v>7343.9730000000009</v>
      </c>
      <c r="D251" s="133">
        <f>183*1.04*1.05*1.05</f>
        <v>209.82780000000002</v>
      </c>
      <c r="E251" s="133"/>
      <c r="F251" s="133"/>
      <c r="G251" s="143"/>
      <c r="H251" s="133">
        <f>C251-D251+E251+G251</f>
        <v>7134.1452000000008</v>
      </c>
    </row>
    <row r="252" spans="1:204" ht="51" customHeight="1" thickBot="1" x14ac:dyDescent="0.35">
      <c r="A252" s="53" t="s">
        <v>474</v>
      </c>
      <c r="B252" s="10" t="s">
        <v>75</v>
      </c>
      <c r="C252" s="277">
        <f>5113*1.04*1.05*1.05</f>
        <v>5862.5658000000012</v>
      </c>
      <c r="D252" s="277"/>
      <c r="E252" s="277">
        <v>90</v>
      </c>
      <c r="F252" s="277"/>
      <c r="G252" s="342"/>
      <c r="H252" s="277">
        <f>C252-D252+E252+G252</f>
        <v>5952.5658000000012</v>
      </c>
    </row>
    <row r="253" spans="1:204" ht="25.5" customHeight="1" thickTop="1" thickBot="1" x14ac:dyDescent="0.35">
      <c r="A253" s="65"/>
      <c r="B253" s="207" t="s">
        <v>6</v>
      </c>
      <c r="C253" s="209">
        <f>SUM(C251:C252)</f>
        <v>13206.538800000002</v>
      </c>
      <c r="D253" s="209">
        <f t="shared" ref="D253:H253" si="47">SUM(D251:D252)</f>
        <v>209.82780000000002</v>
      </c>
      <c r="E253" s="209">
        <f t="shared" si="47"/>
        <v>90</v>
      </c>
      <c r="F253" s="209">
        <f t="shared" si="47"/>
        <v>0</v>
      </c>
      <c r="G253" s="209">
        <f t="shared" si="47"/>
        <v>0</v>
      </c>
      <c r="H253" s="209">
        <f t="shared" si="47"/>
        <v>13086.711000000003</v>
      </c>
    </row>
    <row r="254" spans="1:204" ht="25.5" customHeight="1" thickBot="1" x14ac:dyDescent="0.35">
      <c r="A254" s="65"/>
      <c r="B254" s="136" t="s">
        <v>215</v>
      </c>
      <c r="C254" s="137">
        <f>C253-[1]MADRE!$H$334</f>
        <v>0</v>
      </c>
      <c r="D254" s="137">
        <f>D253-[5]MADRE!$I$333</f>
        <v>0</v>
      </c>
      <c r="E254" s="137">
        <f>E253-[1]MADRE!$J$334</f>
        <v>0</v>
      </c>
      <c r="F254" s="137">
        <f>F253-[25]Hoja1!$K$341</f>
        <v>0</v>
      </c>
      <c r="G254" s="137">
        <f>G253-[3]MADRE!$L$333</f>
        <v>0</v>
      </c>
      <c r="H254" s="137">
        <f>H253-[1]MADRE!$M$334</f>
        <v>0</v>
      </c>
    </row>
    <row r="255" spans="1:204" ht="15" customHeight="1" x14ac:dyDescent="0.3">
      <c r="A255" s="42" t="s">
        <v>198</v>
      </c>
      <c r="B255" s="27"/>
      <c r="C255" s="27"/>
      <c r="D255" s="27"/>
      <c r="E255" s="27"/>
      <c r="F255" s="27"/>
      <c r="G255" s="215"/>
      <c r="H255" s="27"/>
    </row>
    <row r="256" spans="1:204" ht="51" customHeight="1" x14ac:dyDescent="0.3">
      <c r="A256" s="53" t="s">
        <v>78</v>
      </c>
      <c r="B256" s="10" t="s">
        <v>82</v>
      </c>
      <c r="C256" s="133">
        <f>6592*1.04*1.05*1.05</f>
        <v>7558.387200000001</v>
      </c>
      <c r="D256" s="133">
        <f>220*1.04*1.05*1.05</f>
        <v>252.25200000000001</v>
      </c>
      <c r="E256" s="133"/>
      <c r="F256" s="133"/>
      <c r="G256" s="143"/>
      <c r="H256" s="133">
        <f>C256-D256+E256+G256</f>
        <v>7306.1352000000006</v>
      </c>
    </row>
    <row r="257" spans="1:8" ht="51" customHeight="1" x14ac:dyDescent="0.3">
      <c r="A257" s="53" t="s">
        <v>433</v>
      </c>
      <c r="B257" s="30" t="s">
        <v>20</v>
      </c>
      <c r="C257" s="133">
        <f>6700.72*1.05*1.05</f>
        <v>7387.5438000000004</v>
      </c>
      <c r="D257" s="133">
        <f>192.15*1.05*1.05</f>
        <v>211.84537500000002</v>
      </c>
      <c r="E257" s="133">
        <v>183</v>
      </c>
      <c r="F257" s="133"/>
      <c r="G257" s="143"/>
      <c r="H257" s="133">
        <f>C257-D257+E257+G257</f>
        <v>7358.6984250000005</v>
      </c>
    </row>
    <row r="258" spans="1:8" ht="51" customHeight="1" x14ac:dyDescent="0.3">
      <c r="A258" s="53" t="s">
        <v>79</v>
      </c>
      <c r="B258" s="9" t="s">
        <v>83</v>
      </c>
      <c r="C258" s="133">
        <f>5853*1.04*1.05*1.05</f>
        <v>6711.0498000000007</v>
      </c>
      <c r="D258" s="133">
        <f>183*1.04*1.05*1.05</f>
        <v>209.82780000000002</v>
      </c>
      <c r="E258" s="133"/>
      <c r="F258" s="133"/>
      <c r="G258" s="143"/>
      <c r="H258" s="133">
        <f>C258-D258+E258+G258</f>
        <v>6501.2220000000007</v>
      </c>
    </row>
    <row r="259" spans="1:8" ht="51" customHeight="1" x14ac:dyDescent="0.3">
      <c r="A259" s="85" t="s">
        <v>80</v>
      </c>
      <c r="B259" s="9" t="s">
        <v>83</v>
      </c>
      <c r="C259" s="133">
        <f>4977*1.04*1.05*1.05</f>
        <v>5706.6282000000001</v>
      </c>
      <c r="D259" s="133"/>
      <c r="E259" s="133">
        <v>90</v>
      </c>
      <c r="F259" s="133"/>
      <c r="G259" s="143"/>
      <c r="H259" s="133">
        <f t="shared" ref="H259:H262" si="48">C259-D259+E259+G259</f>
        <v>5796.6282000000001</v>
      </c>
    </row>
    <row r="260" spans="1:8" ht="51" customHeight="1" x14ac:dyDescent="0.3">
      <c r="A260" s="86" t="s">
        <v>81</v>
      </c>
      <c r="B260" s="24" t="s">
        <v>83</v>
      </c>
      <c r="C260" s="133">
        <f>4977*1.04*1.05*1.05</f>
        <v>5706.6282000000001</v>
      </c>
      <c r="D260" s="133"/>
      <c r="E260" s="171">
        <v>90</v>
      </c>
      <c r="F260" s="170"/>
      <c r="G260" s="143"/>
      <c r="H260" s="133">
        <f t="shared" si="48"/>
        <v>5796.6282000000001</v>
      </c>
    </row>
    <row r="261" spans="1:8" ht="51" customHeight="1" x14ac:dyDescent="0.3">
      <c r="A261" s="51" t="s">
        <v>294</v>
      </c>
      <c r="B261" s="9" t="s">
        <v>258</v>
      </c>
      <c r="C261" s="133">
        <f>3709*1.04*1.05*1.05</f>
        <v>4252.7394000000004</v>
      </c>
      <c r="D261" s="133"/>
      <c r="E261" s="202">
        <v>95</v>
      </c>
      <c r="F261" s="203"/>
      <c r="G261" s="143"/>
      <c r="H261" s="133">
        <f t="shared" si="48"/>
        <v>4347.7394000000004</v>
      </c>
    </row>
    <row r="262" spans="1:8" ht="51" customHeight="1" thickBot="1" x14ac:dyDescent="0.35">
      <c r="A262" s="51" t="s">
        <v>366</v>
      </c>
      <c r="B262" s="9" t="s">
        <v>367</v>
      </c>
      <c r="C262" s="133">
        <f>4977*1.04*1.05*1.05</f>
        <v>5706.6282000000001</v>
      </c>
      <c r="D262" s="133"/>
      <c r="E262" s="202">
        <v>90</v>
      </c>
      <c r="F262" s="203"/>
      <c r="G262" s="143"/>
      <c r="H262" s="133">
        <f t="shared" si="48"/>
        <v>5796.6282000000001</v>
      </c>
    </row>
    <row r="263" spans="1:8" ht="25.5" customHeight="1" thickTop="1" thickBot="1" x14ac:dyDescent="0.35">
      <c r="A263" s="53"/>
      <c r="B263" s="207" t="s">
        <v>6</v>
      </c>
      <c r="C263" s="210">
        <f t="shared" ref="C263:G263" si="49">SUM(C256:C262)</f>
        <v>43029.604800000001</v>
      </c>
      <c r="D263" s="210">
        <f t="shared" si="49"/>
        <v>673.92517500000008</v>
      </c>
      <c r="E263" s="210">
        <f t="shared" si="49"/>
        <v>548</v>
      </c>
      <c r="F263" s="210">
        <f t="shared" si="49"/>
        <v>0</v>
      </c>
      <c r="G263" s="210">
        <f t="shared" si="49"/>
        <v>0</v>
      </c>
      <c r="H263" s="210">
        <f>SUM(H256:H262)</f>
        <v>42903.679624999997</v>
      </c>
    </row>
    <row r="264" spans="1:8" ht="25.5" customHeight="1" thickBot="1" x14ac:dyDescent="0.35">
      <c r="A264" s="53"/>
      <c r="B264" s="136" t="s">
        <v>215</v>
      </c>
      <c r="C264" s="137">
        <f>C263-[5]MADRE!$H$343</f>
        <v>0</v>
      </c>
      <c r="D264" s="137">
        <f>D263-[5]MADRE!$I$343</f>
        <v>0</v>
      </c>
      <c r="E264" s="137">
        <f>E263-[26]MADRE!$J$354</f>
        <v>0</v>
      </c>
      <c r="F264" s="137">
        <f>F263-[2]MADRE!K$352</f>
        <v>0</v>
      </c>
      <c r="G264" s="137">
        <f>G263-[3]MADRE!$L$343</f>
        <v>0</v>
      </c>
      <c r="H264" s="137">
        <f>H263-[3]MADRE!$M$343</f>
        <v>0</v>
      </c>
    </row>
    <row r="265" spans="1:8" ht="15" customHeight="1" x14ac:dyDescent="0.3">
      <c r="A265" s="42" t="s">
        <v>196</v>
      </c>
      <c r="B265" s="27"/>
      <c r="C265" s="27"/>
      <c r="D265" s="27"/>
      <c r="E265" s="27"/>
      <c r="F265" s="27"/>
      <c r="G265" s="215"/>
      <c r="H265" s="27"/>
    </row>
    <row r="266" spans="1:8" ht="40.5" customHeight="1" x14ac:dyDescent="0.3">
      <c r="A266" s="53" t="s">
        <v>368</v>
      </c>
      <c r="B266" s="10" t="s">
        <v>151</v>
      </c>
      <c r="C266" s="134">
        <f>5936*1.04*1.05*1.05</f>
        <v>6806.2176000000018</v>
      </c>
      <c r="D266" s="134">
        <f>183*1.04*1.05*1.05</f>
        <v>209.82780000000002</v>
      </c>
      <c r="E266" s="134"/>
      <c r="F266" s="134"/>
      <c r="G266" s="135"/>
      <c r="H266" s="133">
        <f>C266-D266+E266+G266</f>
        <v>6596.3898000000017</v>
      </c>
    </row>
    <row r="267" spans="1:8" ht="40.5" customHeight="1" x14ac:dyDescent="0.3">
      <c r="A267" s="53" t="s">
        <v>84</v>
      </c>
      <c r="B267" s="10" t="s">
        <v>86</v>
      </c>
      <c r="C267" s="133">
        <f>4756*1.04*1.05*1.05</f>
        <v>5453.2295999999997</v>
      </c>
      <c r="D267" s="133">
        <f>183*1.05*1.05</f>
        <v>201.75750000000002</v>
      </c>
      <c r="E267" s="133">
        <v>90</v>
      </c>
      <c r="F267" s="133"/>
      <c r="G267" s="135"/>
      <c r="H267" s="133">
        <f>C267-D267+E267+G267</f>
        <v>5341.4721</v>
      </c>
    </row>
    <row r="268" spans="1:8" ht="40.5" customHeight="1" thickBot="1" x14ac:dyDescent="0.35">
      <c r="A268" s="53" t="s">
        <v>85</v>
      </c>
      <c r="B268" s="9" t="s">
        <v>22</v>
      </c>
      <c r="C268" s="133">
        <f>4067*1.04*1.05*1.05</f>
        <v>4663.2222000000011</v>
      </c>
      <c r="D268" s="133"/>
      <c r="E268" s="133">
        <v>110</v>
      </c>
      <c r="F268" s="133"/>
      <c r="G268" s="135"/>
      <c r="H268" s="133">
        <f>C268-D268+E268+G268</f>
        <v>4773.2222000000011</v>
      </c>
    </row>
    <row r="269" spans="1:8" ht="25.5" customHeight="1" thickTop="1" thickBot="1" x14ac:dyDescent="0.35">
      <c r="A269" s="53"/>
      <c r="B269" s="207" t="s">
        <v>6</v>
      </c>
      <c r="C269" s="210">
        <f t="shared" ref="C269:G269" si="50">SUM(C266:C268)</f>
        <v>16922.669400000002</v>
      </c>
      <c r="D269" s="210">
        <f t="shared" si="50"/>
        <v>411.58530000000007</v>
      </c>
      <c r="E269" s="210">
        <f t="shared" si="50"/>
        <v>200</v>
      </c>
      <c r="F269" s="210">
        <f t="shared" si="50"/>
        <v>0</v>
      </c>
      <c r="G269" s="210">
        <f t="shared" si="50"/>
        <v>0</v>
      </c>
      <c r="H269" s="210">
        <f>SUM(H266:H268)</f>
        <v>16711.084100000004</v>
      </c>
    </row>
    <row r="270" spans="1:8" ht="28.5" customHeight="1" thickBot="1" x14ac:dyDescent="0.35">
      <c r="A270" s="53"/>
      <c r="B270" s="136" t="s">
        <v>215</v>
      </c>
      <c r="C270" s="137">
        <f>C269-[5]MADRE!$H$349</f>
        <v>0</v>
      </c>
      <c r="D270" s="137">
        <f>D269-[5]MADRE!$I$349</f>
        <v>0</v>
      </c>
      <c r="E270" s="137">
        <f>E269-[2]MADRE!J$358</f>
        <v>0</v>
      </c>
      <c r="F270" s="137">
        <f>F269-[2]MADRE!K$358</f>
        <v>0</v>
      </c>
      <c r="G270" s="137">
        <f>G269-[3]MADRE!$L$349</f>
        <v>0</v>
      </c>
      <c r="H270" s="137">
        <f>H269-[3]MADRE!$M$349</f>
        <v>0</v>
      </c>
    </row>
    <row r="271" spans="1:8" ht="15" customHeight="1" x14ac:dyDescent="0.3">
      <c r="A271" s="42" t="s">
        <v>197</v>
      </c>
      <c r="B271" s="27"/>
      <c r="C271" s="27"/>
      <c r="D271" s="27"/>
      <c r="E271" s="27"/>
      <c r="F271" s="27"/>
      <c r="G271" s="215"/>
      <c r="H271" s="27"/>
    </row>
    <row r="272" spans="1:8" ht="40.5" customHeight="1" x14ac:dyDescent="0.3">
      <c r="A272" s="51" t="s">
        <v>93</v>
      </c>
      <c r="B272" s="9" t="s">
        <v>90</v>
      </c>
      <c r="C272" s="133">
        <f>4410*1.05*1.05*1.05</f>
        <v>5105.1262500000012</v>
      </c>
      <c r="D272" s="133"/>
      <c r="E272" s="133">
        <v>90</v>
      </c>
      <c r="F272" s="133"/>
      <c r="G272" s="143"/>
      <c r="H272" s="133">
        <f>C272-D272+E272+F272+G272</f>
        <v>5195.1262500000012</v>
      </c>
    </row>
    <row r="273" spans="1:204" ht="40.5" customHeight="1" x14ac:dyDescent="0.3">
      <c r="A273" s="51" t="s">
        <v>96</v>
      </c>
      <c r="B273" s="35" t="s">
        <v>90</v>
      </c>
      <c r="C273" s="133">
        <f>4866*1.05*1.05</f>
        <v>5364.7650000000003</v>
      </c>
      <c r="D273" s="133"/>
      <c r="E273" s="133">
        <v>90</v>
      </c>
      <c r="F273" s="133"/>
      <c r="G273" s="143"/>
      <c r="H273" s="133">
        <f t="shared" ref="H273:H288" si="51">C273-D273+E273+F273+G273</f>
        <v>5454.7650000000003</v>
      </c>
    </row>
    <row r="274" spans="1:204" ht="40.5" customHeight="1" x14ac:dyDescent="0.3">
      <c r="A274" s="51" t="s">
        <v>97</v>
      </c>
      <c r="B274" s="36" t="s">
        <v>65</v>
      </c>
      <c r="C274" s="133">
        <f>4701*1.05*1.05*1.054</f>
        <v>5462.7265349999998</v>
      </c>
      <c r="D274" s="133"/>
      <c r="E274" s="133">
        <v>90</v>
      </c>
      <c r="F274" s="133"/>
      <c r="G274" s="143"/>
      <c r="H274" s="133">
        <f t="shared" si="51"/>
        <v>5552.7265349999998</v>
      </c>
    </row>
    <row r="275" spans="1:204" ht="40.5" customHeight="1" x14ac:dyDescent="0.3">
      <c r="A275" s="51" t="s">
        <v>98</v>
      </c>
      <c r="B275" s="9" t="s">
        <v>90</v>
      </c>
      <c r="C275" s="133">
        <f>4415*1.05*1.05*1.05</f>
        <v>5110.9143750000003</v>
      </c>
      <c r="D275" s="133"/>
      <c r="E275" s="133">
        <v>90</v>
      </c>
      <c r="F275" s="133"/>
      <c r="G275" s="143"/>
      <c r="H275" s="133">
        <f t="shared" si="51"/>
        <v>5200.9143750000003</v>
      </c>
    </row>
    <row r="276" spans="1:204" ht="40.5" customHeight="1" x14ac:dyDescent="0.3">
      <c r="A276" s="87" t="s">
        <v>99</v>
      </c>
      <c r="B276" s="21" t="s">
        <v>90</v>
      </c>
      <c r="C276" s="133">
        <f>4635.75*1.05*1.05</f>
        <v>5110.9143750000003</v>
      </c>
      <c r="D276" s="133"/>
      <c r="E276" s="147">
        <v>90</v>
      </c>
      <c r="F276" s="148"/>
      <c r="G276" s="143"/>
      <c r="H276" s="133">
        <f t="shared" si="51"/>
        <v>5200.9143750000003</v>
      </c>
    </row>
    <row r="277" spans="1:204" ht="40.5" customHeight="1" x14ac:dyDescent="0.3">
      <c r="A277" s="88" t="s">
        <v>276</v>
      </c>
      <c r="B277" s="34" t="s">
        <v>90</v>
      </c>
      <c r="C277" s="133">
        <f>3351*1.05*1.05*1.05</f>
        <v>3879.2013750000006</v>
      </c>
      <c r="D277" s="133"/>
      <c r="E277" s="133">
        <v>165</v>
      </c>
      <c r="F277" s="146"/>
      <c r="G277" s="143"/>
      <c r="H277" s="133">
        <f t="shared" si="51"/>
        <v>4044.2013750000006</v>
      </c>
    </row>
    <row r="278" spans="1:204" ht="40.5" customHeight="1" x14ac:dyDescent="0.3">
      <c r="A278" s="89" t="s">
        <v>101</v>
      </c>
      <c r="B278" s="127" t="s">
        <v>91</v>
      </c>
      <c r="C278" s="133">
        <f>4707*1.05*1.05*1.05</f>
        <v>5448.9408750000011</v>
      </c>
      <c r="D278" s="133"/>
      <c r="E278" s="133">
        <v>90</v>
      </c>
      <c r="F278" s="146"/>
      <c r="G278" s="143"/>
      <c r="H278" s="133">
        <f t="shared" si="51"/>
        <v>5538.9408750000011</v>
      </c>
    </row>
    <row r="279" spans="1:204" s="6" customFormat="1" ht="40.5" customHeight="1" x14ac:dyDescent="0.3">
      <c r="A279" s="90" t="s">
        <v>103</v>
      </c>
      <c r="B279" s="290" t="s">
        <v>92</v>
      </c>
      <c r="C279" s="291">
        <f>2000*1.05*1.05*1.05</f>
        <v>2315.25</v>
      </c>
      <c r="D279" s="291"/>
      <c r="E279" s="292">
        <v>165</v>
      </c>
      <c r="F279" s="293"/>
      <c r="G279" s="143"/>
      <c r="H279" s="133">
        <f t="shared" si="51"/>
        <v>2480.25</v>
      </c>
    </row>
    <row r="280" spans="1:204" ht="40.5" customHeight="1" x14ac:dyDescent="0.3">
      <c r="A280" s="91" t="s">
        <v>114</v>
      </c>
      <c r="B280" s="110" t="s">
        <v>90</v>
      </c>
      <c r="C280" s="133">
        <f>4200*1.05*1.05</f>
        <v>4630.5</v>
      </c>
      <c r="D280" s="133"/>
      <c r="E280" s="170">
        <v>111</v>
      </c>
      <c r="F280" s="151"/>
      <c r="G280" s="143"/>
      <c r="H280" s="133">
        <f t="shared" si="51"/>
        <v>4741.5</v>
      </c>
    </row>
    <row r="281" spans="1:204" ht="40.5" customHeight="1" x14ac:dyDescent="0.3">
      <c r="A281" s="53" t="s">
        <v>104</v>
      </c>
      <c r="B281" s="122" t="s">
        <v>65</v>
      </c>
      <c r="C281" s="133">
        <f>4942*1.05*1.05</f>
        <v>5448.5550000000003</v>
      </c>
      <c r="D281" s="133"/>
      <c r="E281" s="133">
        <f>E391</f>
        <v>90</v>
      </c>
      <c r="F281" s="133"/>
      <c r="G281" s="143"/>
      <c r="H281" s="133">
        <f t="shared" si="51"/>
        <v>5538.5550000000003</v>
      </c>
    </row>
    <row r="282" spans="1:204" ht="40.5" customHeight="1" x14ac:dyDescent="0.3">
      <c r="A282" s="86" t="s">
        <v>113</v>
      </c>
      <c r="B282" s="110" t="s">
        <v>147</v>
      </c>
      <c r="C282" s="133">
        <f>6019*1.05*1.05*1.05</f>
        <v>6967.7448750000003</v>
      </c>
      <c r="D282" s="133">
        <f>183*1.05*1.05*1.05</f>
        <v>211.84537500000002</v>
      </c>
      <c r="E282" s="145"/>
      <c r="F282" s="145"/>
      <c r="G282" s="143"/>
      <c r="H282" s="133">
        <f>C282-D282+E282+F282+G282</f>
        <v>6755.8995000000004</v>
      </c>
    </row>
    <row r="283" spans="1:204" ht="40.5" customHeight="1" x14ac:dyDescent="0.3">
      <c r="A283" s="75" t="s">
        <v>255</v>
      </c>
      <c r="B283" s="30" t="s">
        <v>64</v>
      </c>
      <c r="C283" s="133">
        <f>4415*1.05*1.05*1.05</f>
        <v>5110.9143750000003</v>
      </c>
      <c r="D283" s="133"/>
      <c r="E283" s="133">
        <v>90</v>
      </c>
      <c r="F283" s="133"/>
      <c r="G283" s="143"/>
      <c r="H283" s="133">
        <f t="shared" si="51"/>
        <v>5200.9143750000003</v>
      </c>
    </row>
    <row r="284" spans="1:204" ht="40.5" customHeight="1" x14ac:dyDescent="0.3">
      <c r="A284" s="71" t="s">
        <v>257</v>
      </c>
      <c r="B284" s="211" t="s">
        <v>268</v>
      </c>
      <c r="C284" s="133">
        <f>4415*1.05*1.05*1.05</f>
        <v>5110.9143750000003</v>
      </c>
      <c r="D284" s="133"/>
      <c r="E284" s="133">
        <v>90</v>
      </c>
      <c r="F284" s="133"/>
      <c r="G284" s="143"/>
      <c r="H284" s="133">
        <f t="shared" si="51"/>
        <v>5200.9143750000003</v>
      </c>
    </row>
    <row r="285" spans="1:204" ht="40.5" customHeight="1" x14ac:dyDescent="0.3">
      <c r="A285" s="51" t="s">
        <v>274</v>
      </c>
      <c r="B285" s="22" t="s">
        <v>271</v>
      </c>
      <c r="C285" s="133">
        <f>3891.5*1.05</f>
        <v>4086.0750000000003</v>
      </c>
      <c r="D285" s="133"/>
      <c r="E285" s="133">
        <v>95</v>
      </c>
      <c r="F285" s="133"/>
      <c r="G285" s="143"/>
      <c r="H285" s="133">
        <f t="shared" si="51"/>
        <v>4181.0750000000007</v>
      </c>
    </row>
    <row r="286" spans="1:204" ht="40.5" customHeight="1" x14ac:dyDescent="0.3">
      <c r="A286" s="51" t="s">
        <v>275</v>
      </c>
      <c r="B286" s="22" t="s">
        <v>271</v>
      </c>
      <c r="C286" s="133">
        <f>4415*1.05*1.05*1.05</f>
        <v>5110.9143750000003</v>
      </c>
      <c r="D286" s="133"/>
      <c r="E286" s="133">
        <v>90</v>
      </c>
      <c r="F286" s="133"/>
      <c r="G286" s="143"/>
      <c r="H286" s="133">
        <f t="shared" si="51"/>
        <v>5200.9143750000003</v>
      </c>
    </row>
    <row r="287" spans="1:204" s="5" customFormat="1" ht="51" customHeight="1" x14ac:dyDescent="0.3">
      <c r="A287" s="84" t="s">
        <v>319</v>
      </c>
      <c r="B287" s="22" t="s">
        <v>271</v>
      </c>
      <c r="C287" s="133">
        <f>3990*1.05</f>
        <v>4189.5</v>
      </c>
      <c r="D287" s="133"/>
      <c r="E287" s="134">
        <v>90</v>
      </c>
      <c r="F287" s="134"/>
      <c r="G287" s="143"/>
      <c r="H287" s="133">
        <f>C287-D287+E287+G287</f>
        <v>4279.5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</row>
    <row r="288" spans="1:204" ht="40.5" customHeight="1" thickBot="1" x14ac:dyDescent="0.35">
      <c r="A288" s="53" t="s">
        <v>301</v>
      </c>
      <c r="B288" s="10" t="s">
        <v>271</v>
      </c>
      <c r="C288" s="133">
        <f>3520*1.05*1.05*1.05</f>
        <v>4074.84</v>
      </c>
      <c r="D288" s="133"/>
      <c r="E288" s="133">
        <v>90</v>
      </c>
      <c r="F288" s="133"/>
      <c r="G288" s="143"/>
      <c r="H288" s="133">
        <f t="shared" si="51"/>
        <v>4164.84</v>
      </c>
    </row>
    <row r="289" spans="1:8" ht="25.5" customHeight="1" thickTop="1" thickBot="1" x14ac:dyDescent="0.35">
      <c r="A289" s="51"/>
      <c r="B289" s="207" t="s">
        <v>6</v>
      </c>
      <c r="C289" s="210">
        <f t="shared" ref="C289:G289" si="52">SUM(C272:C288)</f>
        <v>82527.796785000013</v>
      </c>
      <c r="D289" s="210">
        <f t="shared" si="52"/>
        <v>211.84537500000002</v>
      </c>
      <c r="E289" s="210">
        <f t="shared" si="52"/>
        <v>1616</v>
      </c>
      <c r="F289" s="210">
        <f t="shared" si="52"/>
        <v>0</v>
      </c>
      <c r="G289" s="210">
        <f t="shared" si="52"/>
        <v>0</v>
      </c>
      <c r="H289" s="210">
        <f>SUM(H272:H288)</f>
        <v>83931.951410000009</v>
      </c>
    </row>
    <row r="290" spans="1:8" ht="25.5" customHeight="1" thickBot="1" x14ac:dyDescent="0.35">
      <c r="A290" s="51"/>
      <c r="B290" s="136" t="s">
        <v>215</v>
      </c>
      <c r="C290" s="137">
        <f>C289-[3]MADRE!$H$369</f>
        <v>0</v>
      </c>
      <c r="D290" s="137">
        <f>D289-[5]MADRE!$I$369</f>
        <v>0</v>
      </c>
      <c r="E290" s="137">
        <f>E289-[3]MADRE!$J$369</f>
        <v>0</v>
      </c>
      <c r="F290" s="137">
        <f>F289-[2]MADRE!$K$378</f>
        <v>0</v>
      </c>
      <c r="G290" s="137">
        <f>G289-[3]MADRE!$L$369</f>
        <v>0</v>
      </c>
      <c r="H290" s="137">
        <f>H289-[3]MADRE!$M$369</f>
        <v>0</v>
      </c>
    </row>
    <row r="291" spans="1:8" ht="15" customHeight="1" x14ac:dyDescent="0.3">
      <c r="A291" s="42" t="s">
        <v>199</v>
      </c>
      <c r="B291" s="27"/>
      <c r="C291" s="27"/>
      <c r="D291" s="27"/>
      <c r="E291" s="27"/>
      <c r="F291" s="27"/>
      <c r="G291" s="215"/>
      <c r="H291" s="27"/>
    </row>
    <row r="292" spans="1:8" ht="51" customHeight="1" x14ac:dyDescent="0.3">
      <c r="A292" s="53" t="s">
        <v>117</v>
      </c>
      <c r="B292" s="10" t="s">
        <v>148</v>
      </c>
      <c r="C292" s="133">
        <f>6272*1.04*1.05*1.05</f>
        <v>7191.4752000000008</v>
      </c>
      <c r="D292" s="133">
        <f>183*1.04*1.05*1.05</f>
        <v>209.82780000000002</v>
      </c>
      <c r="E292" s="133"/>
      <c r="F292" s="133"/>
      <c r="G292" s="143"/>
      <c r="H292" s="133">
        <f t="shared" ref="H292:H299" si="53">C292-D292+E292+G292</f>
        <v>6981.6474000000007</v>
      </c>
    </row>
    <row r="293" spans="1:8" ht="51" customHeight="1" x14ac:dyDescent="0.3">
      <c r="A293" s="51" t="s">
        <v>111</v>
      </c>
      <c r="B293" s="22" t="s">
        <v>105</v>
      </c>
      <c r="C293" s="133">
        <f>4415*1.05*1.05*1.05</f>
        <v>5110.9143750000003</v>
      </c>
      <c r="D293" s="133"/>
      <c r="E293" s="133">
        <v>90</v>
      </c>
      <c r="F293" s="133"/>
      <c r="G293" s="143"/>
      <c r="H293" s="133">
        <f t="shared" si="53"/>
        <v>5200.9143750000003</v>
      </c>
    </row>
    <row r="294" spans="1:8" ht="51" customHeight="1" x14ac:dyDescent="0.3">
      <c r="A294" s="53" t="s">
        <v>116</v>
      </c>
      <c r="B294" s="22" t="s">
        <v>105</v>
      </c>
      <c r="C294" s="133">
        <f>4415*1.05*1.05*1.05</f>
        <v>5110.9143750000003</v>
      </c>
      <c r="D294" s="212"/>
      <c r="E294" s="212">
        <v>90</v>
      </c>
      <c r="F294" s="212"/>
      <c r="G294" s="143"/>
      <c r="H294" s="133">
        <f t="shared" si="53"/>
        <v>5200.9143750000003</v>
      </c>
    </row>
    <row r="295" spans="1:8" s="2" customFormat="1" ht="51" customHeight="1" x14ac:dyDescent="0.3">
      <c r="A295" s="76" t="s">
        <v>109</v>
      </c>
      <c r="B295" s="123" t="s">
        <v>106</v>
      </c>
      <c r="C295" s="133">
        <f>5267.54*1.05</f>
        <v>5530.9170000000004</v>
      </c>
      <c r="D295" s="133"/>
      <c r="E295" s="147">
        <v>90</v>
      </c>
      <c r="F295" s="148"/>
      <c r="G295" s="143"/>
      <c r="H295" s="133">
        <f t="shared" si="53"/>
        <v>5620.9170000000004</v>
      </c>
    </row>
    <row r="296" spans="1:8" s="2" customFormat="1" ht="51" customHeight="1" x14ac:dyDescent="0.3">
      <c r="A296" s="51" t="s">
        <v>110</v>
      </c>
      <c r="B296" s="116" t="s">
        <v>149</v>
      </c>
      <c r="C296" s="133">
        <f>4415*1.05*1.05*1.05</f>
        <v>5110.9143750000003</v>
      </c>
      <c r="D296" s="133"/>
      <c r="E296" s="133">
        <v>90</v>
      </c>
      <c r="F296" s="133"/>
      <c r="G296" s="143"/>
      <c r="H296" s="133">
        <f t="shared" si="53"/>
        <v>5200.9143750000003</v>
      </c>
    </row>
    <row r="297" spans="1:8" s="2" customFormat="1" ht="51" customHeight="1" x14ac:dyDescent="0.3">
      <c r="A297" s="71" t="s">
        <v>60</v>
      </c>
      <c r="B297" s="36" t="s">
        <v>258</v>
      </c>
      <c r="C297" s="133">
        <f>4817*1.04*1.05*1.05</f>
        <v>5523.1722000000009</v>
      </c>
      <c r="D297" s="180">
        <f>99*1.04*1.05*1.05</f>
        <v>113.51340000000002</v>
      </c>
      <c r="E297" s="170"/>
      <c r="F297" s="151"/>
      <c r="G297" s="143"/>
      <c r="H297" s="133">
        <f t="shared" si="53"/>
        <v>5409.6588000000011</v>
      </c>
    </row>
    <row r="298" spans="1:8" s="2" customFormat="1" ht="51" customHeight="1" x14ac:dyDescent="0.3">
      <c r="A298" s="51" t="s">
        <v>332</v>
      </c>
      <c r="B298" s="187" t="s">
        <v>258</v>
      </c>
      <c r="C298" s="133">
        <f>3872.82*1.05</f>
        <v>4066.4610000000002</v>
      </c>
      <c r="D298" s="133"/>
      <c r="E298" s="133">
        <v>120</v>
      </c>
      <c r="F298" s="133"/>
      <c r="G298" s="143"/>
      <c r="H298" s="133">
        <f t="shared" si="53"/>
        <v>4186.4610000000002</v>
      </c>
    </row>
    <row r="299" spans="1:8" s="2" customFormat="1" ht="51" customHeight="1" thickBot="1" x14ac:dyDescent="0.35">
      <c r="A299" s="51" t="s">
        <v>335</v>
      </c>
      <c r="B299" s="114" t="s">
        <v>446</v>
      </c>
      <c r="C299" s="133">
        <f>7138.92*1.05</f>
        <v>7495.866</v>
      </c>
      <c r="D299" s="133">
        <f>126*1.05*1.05*1.05</f>
        <v>145.86075000000002</v>
      </c>
      <c r="E299" s="133"/>
      <c r="F299" s="133"/>
      <c r="G299" s="143"/>
      <c r="H299" s="133">
        <f t="shared" si="53"/>
        <v>7350.0052500000002</v>
      </c>
    </row>
    <row r="300" spans="1:8" s="2" customFormat="1" ht="25.5" customHeight="1" thickTop="1" thickBot="1" x14ac:dyDescent="0.35">
      <c r="A300" s="53"/>
      <c r="B300" s="207" t="s">
        <v>6</v>
      </c>
      <c r="C300" s="210">
        <f>SUM(C292:C299)</f>
        <v>45140.634525000009</v>
      </c>
      <c r="D300" s="210">
        <f t="shared" ref="D300:G300" si="54">SUM(D292:D299)</f>
        <v>469.20195000000012</v>
      </c>
      <c r="E300" s="210">
        <f t="shared" si="54"/>
        <v>480</v>
      </c>
      <c r="F300" s="210">
        <f t="shared" si="54"/>
        <v>0</v>
      </c>
      <c r="G300" s="210">
        <f t="shared" si="54"/>
        <v>0</v>
      </c>
      <c r="H300" s="210">
        <f>SUM(H292:H299)</f>
        <v>45151.432575000006</v>
      </c>
    </row>
    <row r="301" spans="1:8" s="2" customFormat="1" ht="25.5" customHeight="1" thickBot="1" x14ac:dyDescent="0.35">
      <c r="A301" s="53"/>
      <c r="B301" s="136" t="s">
        <v>215</v>
      </c>
      <c r="C301" s="137">
        <f>C300-[5]MADRE!$H$380</f>
        <v>0</v>
      </c>
      <c r="D301" s="137">
        <f>D300-[5]MADRE!$I$380</f>
        <v>0</v>
      </c>
      <c r="E301" s="137">
        <f>E300-[2]MADRE!J$390</f>
        <v>0</v>
      </c>
      <c r="F301" s="137">
        <f>F300-[2]MADRE!K$390</f>
        <v>0</v>
      </c>
      <c r="G301" s="137">
        <f>G300-[3]MADRE!$L$380</f>
        <v>0</v>
      </c>
      <c r="H301" s="137">
        <f>H300-[3]MADRE!$M$380</f>
        <v>0</v>
      </c>
    </row>
    <row r="302" spans="1:8" s="2" customFormat="1" ht="15" customHeight="1" x14ac:dyDescent="0.3">
      <c r="A302" s="42" t="s">
        <v>200</v>
      </c>
      <c r="B302" s="27"/>
      <c r="C302" s="27"/>
      <c r="D302" s="27"/>
      <c r="E302" s="27"/>
      <c r="F302" s="27"/>
      <c r="G302" s="215"/>
      <c r="H302" s="27"/>
    </row>
    <row r="303" spans="1:8" ht="51" customHeight="1" thickBot="1" x14ac:dyDescent="0.35">
      <c r="A303" s="53" t="s">
        <v>89</v>
      </c>
      <c r="B303" s="10" t="s">
        <v>87</v>
      </c>
      <c r="C303" s="133">
        <f>3511*1.05*1.05*1.05</f>
        <v>4064.4213750000008</v>
      </c>
      <c r="D303" s="133"/>
      <c r="E303" s="133">
        <v>130</v>
      </c>
      <c r="F303" s="133"/>
      <c r="G303" s="143"/>
      <c r="H303" s="133">
        <f>C303-D303+E303+G303</f>
        <v>4194.4213750000008</v>
      </c>
    </row>
    <row r="304" spans="1:8" s="2" customFormat="1" ht="25.5" customHeight="1" thickTop="1" thickBot="1" x14ac:dyDescent="0.35">
      <c r="A304" s="53"/>
      <c r="B304" s="207" t="s">
        <v>6</v>
      </c>
      <c r="C304" s="142">
        <f t="shared" ref="C304:G304" si="55">SUM(C303)</f>
        <v>4064.4213750000008</v>
      </c>
      <c r="D304" s="142">
        <f t="shared" si="55"/>
        <v>0</v>
      </c>
      <c r="E304" s="142">
        <f t="shared" si="55"/>
        <v>130</v>
      </c>
      <c r="F304" s="142">
        <f t="shared" si="55"/>
        <v>0</v>
      </c>
      <c r="G304" s="142">
        <f t="shared" si="55"/>
        <v>0</v>
      </c>
      <c r="H304" s="142">
        <f>SUM(H303)</f>
        <v>4194.4213750000008</v>
      </c>
    </row>
    <row r="305" spans="1:8" s="2" customFormat="1" ht="25.5" customHeight="1" thickBot="1" x14ac:dyDescent="0.35">
      <c r="A305" s="53"/>
      <c r="B305" s="136" t="s">
        <v>215</v>
      </c>
      <c r="C305" s="137">
        <f>C304-[5]MADRE!$H$384</f>
        <v>0</v>
      </c>
      <c r="D305" s="137">
        <f>D304-[2]MADRE!I$394</f>
        <v>0</v>
      </c>
      <c r="E305" s="137">
        <f>E304-[2]MADRE!J$394</f>
        <v>0</v>
      </c>
      <c r="F305" s="137">
        <f>F304-[2]MADRE!K$394</f>
        <v>0</v>
      </c>
      <c r="G305" s="137">
        <f>G304-[3]MADRE!$L$384</f>
        <v>0</v>
      </c>
      <c r="H305" s="137">
        <f>H304-[3]MADRE!$M$384</f>
        <v>0</v>
      </c>
    </row>
    <row r="306" spans="1:8" s="2" customFormat="1" ht="15" customHeight="1" x14ac:dyDescent="0.3">
      <c r="A306" s="12" t="s">
        <v>201</v>
      </c>
      <c r="B306" s="15"/>
      <c r="C306" s="15"/>
      <c r="D306" s="15"/>
      <c r="E306" s="15"/>
      <c r="F306" s="15"/>
      <c r="G306" s="337"/>
      <c r="H306" s="15"/>
    </row>
    <row r="307" spans="1:8" s="2" customFormat="1" ht="15.75" customHeight="1" x14ac:dyDescent="0.3">
      <c r="A307" s="92"/>
      <c r="B307" s="22"/>
      <c r="C307" s="133"/>
      <c r="D307" s="133"/>
      <c r="E307" s="133"/>
      <c r="F307" s="133"/>
      <c r="G307" s="143"/>
      <c r="H307" s="133"/>
    </row>
    <row r="308" spans="1:8" ht="51" customHeight="1" x14ac:dyDescent="0.3">
      <c r="A308" s="77" t="s">
        <v>444</v>
      </c>
      <c r="B308" s="9" t="s">
        <v>126</v>
      </c>
      <c r="C308" s="133">
        <f>5087*1.04*1.05*1.05</f>
        <v>5832.7542000000012</v>
      </c>
      <c r="D308" s="133">
        <f>154*1.04*1.05*1.05</f>
        <v>176.57640000000001</v>
      </c>
      <c r="E308" s="133"/>
      <c r="F308" s="133"/>
      <c r="G308" s="143"/>
      <c r="H308" s="133">
        <f>C308-D308+E308+F308+G308</f>
        <v>5656.1778000000013</v>
      </c>
    </row>
    <row r="309" spans="1:8" ht="51" customHeight="1" x14ac:dyDescent="0.3">
      <c r="A309" s="77" t="s">
        <v>273</v>
      </c>
      <c r="B309" s="9" t="s">
        <v>126</v>
      </c>
      <c r="C309" s="133">
        <f>5087*1.04*1.05*1.05</f>
        <v>5832.7542000000012</v>
      </c>
      <c r="D309" s="133">
        <f>154*1.04*1.05*1.05</f>
        <v>176.57640000000001</v>
      </c>
      <c r="E309" s="133"/>
      <c r="F309" s="133"/>
      <c r="G309" s="143"/>
      <c r="H309" s="133">
        <f>C309-D309+E309+F309+G309</f>
        <v>5656.1778000000013</v>
      </c>
    </row>
    <row r="310" spans="1:8" ht="51" customHeight="1" x14ac:dyDescent="0.3">
      <c r="A310" s="51" t="s">
        <v>291</v>
      </c>
      <c r="B310" s="23" t="s">
        <v>290</v>
      </c>
      <c r="C310" s="133">
        <f>4058*1.04*1.05*1.05</f>
        <v>4652.9028000000008</v>
      </c>
      <c r="D310" s="133"/>
      <c r="E310" s="133">
        <v>95</v>
      </c>
      <c r="F310" s="133"/>
      <c r="G310" s="143"/>
      <c r="H310" s="133">
        <f t="shared" ref="H310:H314" si="56">C310-D310+E310+F310+G310</f>
        <v>4747.9028000000008</v>
      </c>
    </row>
    <row r="311" spans="1:8" ht="51" customHeight="1" x14ac:dyDescent="0.3">
      <c r="A311" s="51" t="s">
        <v>309</v>
      </c>
      <c r="B311" s="22" t="s">
        <v>290</v>
      </c>
      <c r="C311" s="133">
        <f>4058*1.04*1.05*1.05</f>
        <v>4652.9028000000008</v>
      </c>
      <c r="D311" s="133"/>
      <c r="E311" s="133">
        <v>95</v>
      </c>
      <c r="F311" s="133"/>
      <c r="G311" s="143"/>
      <c r="H311" s="133">
        <f t="shared" si="56"/>
        <v>4747.9028000000008</v>
      </c>
    </row>
    <row r="312" spans="1:8" ht="51" customHeight="1" x14ac:dyDescent="0.3">
      <c r="A312" s="61" t="s">
        <v>57</v>
      </c>
      <c r="B312" s="22" t="s">
        <v>290</v>
      </c>
      <c r="C312" s="133">
        <f>5545*1.05*1.05*1.05</f>
        <v>6419.0306250000003</v>
      </c>
      <c r="D312" s="133">
        <f>99*1.05*1.05*1.05</f>
        <v>114.60487500000001</v>
      </c>
      <c r="E312" s="147"/>
      <c r="F312" s="148">
        <v>126</v>
      </c>
      <c r="G312" s="143"/>
      <c r="H312" s="133">
        <f t="shared" si="56"/>
        <v>6430.4257500000003</v>
      </c>
    </row>
    <row r="313" spans="1:8" s="301" customFormat="1" ht="51" customHeight="1" x14ac:dyDescent="0.3">
      <c r="A313" s="71" t="s">
        <v>435</v>
      </c>
      <c r="B313" s="22" t="s">
        <v>290</v>
      </c>
      <c r="C313" s="318">
        <f>6498*1.05*1.05*1.05</f>
        <v>7522.2472500000013</v>
      </c>
      <c r="D313" s="318">
        <f>220*1.05*1.05*1.05</f>
        <v>254.67750000000001</v>
      </c>
      <c r="E313" s="318"/>
      <c r="F313" s="300">
        <v>175</v>
      </c>
      <c r="G313" s="143"/>
      <c r="H313" s="133">
        <f t="shared" si="56"/>
        <v>7442.5697500000015</v>
      </c>
    </row>
    <row r="314" spans="1:8" ht="51" customHeight="1" thickBot="1" x14ac:dyDescent="0.35">
      <c r="A314" s="51" t="s">
        <v>369</v>
      </c>
      <c r="B314" s="22" t="s">
        <v>370</v>
      </c>
      <c r="C314" s="280">
        <f>4058*1.04*1.05*1.05</f>
        <v>4652.9028000000008</v>
      </c>
      <c r="D314" s="280"/>
      <c r="E314" s="280">
        <v>95</v>
      </c>
      <c r="F314" s="277"/>
      <c r="G314" s="342"/>
      <c r="H314" s="277">
        <f t="shared" si="56"/>
        <v>4747.9028000000008</v>
      </c>
    </row>
    <row r="315" spans="1:8" s="2" customFormat="1" ht="25.5" customHeight="1" thickTop="1" thickBot="1" x14ac:dyDescent="0.35">
      <c r="A315" s="43"/>
      <c r="B315" s="37" t="s">
        <v>6</v>
      </c>
      <c r="C315" s="143">
        <f t="shared" ref="C315:H315" si="57">SUM(C308:C314)</f>
        <v>39565.494675000009</v>
      </c>
      <c r="D315" s="143">
        <f t="shared" si="57"/>
        <v>722.43517500000007</v>
      </c>
      <c r="E315" s="143">
        <f t="shared" si="57"/>
        <v>285</v>
      </c>
      <c r="F315" s="143">
        <f t="shared" si="57"/>
        <v>301</v>
      </c>
      <c r="G315" s="143">
        <f t="shared" si="57"/>
        <v>0</v>
      </c>
      <c r="H315" s="143">
        <f t="shared" si="57"/>
        <v>39429.05950000001</v>
      </c>
    </row>
    <row r="316" spans="1:8" s="2" customFormat="1" ht="25.5" customHeight="1" thickBot="1" x14ac:dyDescent="0.35">
      <c r="A316" s="43"/>
      <c r="B316" s="136" t="s">
        <v>215</v>
      </c>
      <c r="C316" s="152">
        <f>C315-[3]MADRE!$H$398</f>
        <v>0</v>
      </c>
      <c r="D316" s="152">
        <f>D315-[5]MADRE!$I$399</f>
        <v>0</v>
      </c>
      <c r="E316" s="152">
        <f>E315-[3]MADRE!$J$398</f>
        <v>0</v>
      </c>
      <c r="F316" s="152">
        <f>F315-[27]MADRE!$K$406</f>
        <v>0</v>
      </c>
      <c r="G316" s="152">
        <f>G315-[3]MADRE!$L$398</f>
        <v>0</v>
      </c>
      <c r="H316" s="152">
        <f>H315-[3]MADRE!$M$398</f>
        <v>0</v>
      </c>
    </row>
    <row r="317" spans="1:8" ht="15" customHeight="1" x14ac:dyDescent="0.3">
      <c r="A317" s="12" t="s">
        <v>202</v>
      </c>
      <c r="B317" s="15"/>
      <c r="C317" s="15"/>
      <c r="D317" s="15"/>
      <c r="E317" s="15"/>
      <c r="F317" s="15"/>
      <c r="G317" s="337"/>
      <c r="H317" s="15"/>
    </row>
    <row r="318" spans="1:8" ht="51" customHeight="1" x14ac:dyDescent="0.3">
      <c r="A318" s="93" t="s">
        <v>460</v>
      </c>
      <c r="B318" s="20" t="s">
        <v>461</v>
      </c>
      <c r="C318" s="141">
        <f>6691*1.04*1.05*1.05</f>
        <v>7671.9006000000018</v>
      </c>
      <c r="D318" s="138">
        <f>240.24*1.05</f>
        <v>252.25200000000001</v>
      </c>
      <c r="E318" s="155"/>
      <c r="F318" s="155"/>
      <c r="G318" s="341"/>
      <c r="H318" s="155">
        <f>C318-D318+E318+F318+G318</f>
        <v>7419.6486000000014</v>
      </c>
    </row>
    <row r="319" spans="1:8" ht="40.5" customHeight="1" x14ac:dyDescent="0.3">
      <c r="A319" s="79" t="s">
        <v>102</v>
      </c>
      <c r="B319" s="117" t="s">
        <v>282</v>
      </c>
      <c r="C319" s="133">
        <f>3913*1.05*1.05*1.05</f>
        <v>4529.7866250000006</v>
      </c>
      <c r="D319" s="133"/>
      <c r="E319" s="133">
        <v>120</v>
      </c>
      <c r="F319" s="133"/>
      <c r="G319" s="341"/>
      <c r="H319" s="133">
        <f>C319-D319+E319+G319</f>
        <v>4649.7866250000006</v>
      </c>
    </row>
    <row r="320" spans="1:8" ht="40.5" customHeight="1" thickBot="1" x14ac:dyDescent="0.35">
      <c r="A320" s="51" t="s">
        <v>279</v>
      </c>
      <c r="B320" s="10" t="s">
        <v>280</v>
      </c>
      <c r="C320" s="277">
        <f>3241*1.05*1.05*1.05</f>
        <v>3751.8626250000007</v>
      </c>
      <c r="D320" s="277"/>
      <c r="E320" s="277">
        <v>95</v>
      </c>
      <c r="F320" s="280"/>
      <c r="G320" s="280"/>
      <c r="H320" s="280">
        <f>C320-D320+E320+G320</f>
        <v>3846.8626250000007</v>
      </c>
    </row>
    <row r="321" spans="1:8" ht="25.5" customHeight="1" thickTop="1" thickBot="1" x14ac:dyDescent="0.35">
      <c r="A321" s="41"/>
      <c r="B321" s="37" t="s">
        <v>6</v>
      </c>
      <c r="C321" s="135">
        <f>SUM(C318:C320)</f>
        <v>15953.549850000003</v>
      </c>
      <c r="D321" s="135">
        <f>SUM(D318:D320)</f>
        <v>252.25200000000001</v>
      </c>
      <c r="E321" s="135">
        <f>SUM(E318:E320)</f>
        <v>215</v>
      </c>
      <c r="F321" s="135">
        <f t="shared" ref="F321:G321" si="58">SUM(F318:F320)</f>
        <v>0</v>
      </c>
      <c r="G321" s="135">
        <f t="shared" si="58"/>
        <v>0</v>
      </c>
      <c r="H321" s="135">
        <f>SUM(H318:H320)</f>
        <v>15916.297850000003</v>
      </c>
    </row>
    <row r="322" spans="1:8" ht="25.5" customHeight="1" thickBot="1" x14ac:dyDescent="0.35">
      <c r="A322" s="41"/>
      <c r="B322" s="136" t="s">
        <v>215</v>
      </c>
      <c r="C322" s="137">
        <f>C321-[5]MADRE!$H$408</f>
        <v>0</v>
      </c>
      <c r="D322" s="137">
        <f>D321-[5]MADRE!$I$408</f>
        <v>0</v>
      </c>
      <c r="E322" s="137">
        <f>E321-[28]MADRE!$J$417</f>
        <v>0</v>
      </c>
      <c r="F322" s="137">
        <f>F321-[28]MADRE!$K$417</f>
        <v>0</v>
      </c>
      <c r="G322" s="137">
        <f>G321-[3]MADRE!$L$407</f>
        <v>0</v>
      </c>
      <c r="H322" s="137">
        <f>H321-[3]MADRE!$M$407</f>
        <v>0</v>
      </c>
    </row>
    <row r="323" spans="1:8" ht="15" customHeight="1" x14ac:dyDescent="0.3">
      <c r="A323" s="12" t="s">
        <v>203</v>
      </c>
      <c r="B323" s="15"/>
      <c r="C323" s="15"/>
      <c r="D323" s="15"/>
      <c r="E323" s="15"/>
      <c r="F323" s="15"/>
      <c r="G323" s="337"/>
      <c r="H323" s="15"/>
    </row>
    <row r="324" spans="1:8" ht="51" customHeight="1" x14ac:dyDescent="0.3">
      <c r="A324" s="93" t="s">
        <v>431</v>
      </c>
      <c r="B324" s="20" t="s">
        <v>432</v>
      </c>
      <c r="C324" s="141">
        <f>6691*1.04*1.05*1.05</f>
        <v>7671.9006000000018</v>
      </c>
      <c r="D324" s="138">
        <f>240.24*1.05</f>
        <v>252.25200000000001</v>
      </c>
      <c r="E324" s="155"/>
      <c r="F324" s="155"/>
      <c r="G324" s="341"/>
      <c r="H324" s="155">
        <f>C324-D324+E324+F324+G324</f>
        <v>7419.6486000000014</v>
      </c>
    </row>
    <row r="325" spans="1:8" ht="51" customHeight="1" x14ac:dyDescent="0.3">
      <c r="A325" s="69" t="s">
        <v>131</v>
      </c>
      <c r="B325" s="111" t="s">
        <v>127</v>
      </c>
      <c r="C325" s="133">
        <f>4349*1.04*1.05*1.05</f>
        <v>4986.5634</v>
      </c>
      <c r="D325" s="134"/>
      <c r="E325" s="147">
        <v>90</v>
      </c>
      <c r="F325" s="147"/>
      <c r="G325" s="341"/>
      <c r="H325" s="147">
        <f>C325-D325+E325+G325</f>
        <v>5076.5634</v>
      </c>
    </row>
    <row r="326" spans="1:8" ht="51" customHeight="1" x14ac:dyDescent="0.3">
      <c r="A326" s="76" t="s">
        <v>132</v>
      </c>
      <c r="B326" s="10" t="s">
        <v>128</v>
      </c>
      <c r="C326" s="133">
        <f>5446*1.04*1.05*1.05</f>
        <v>6244.3836000000001</v>
      </c>
      <c r="D326" s="134">
        <f>270*1.04*1.05*1.05</f>
        <v>309.58200000000005</v>
      </c>
      <c r="E326" s="150"/>
      <c r="F326" s="149"/>
      <c r="G326" s="341"/>
      <c r="H326" s="147">
        <f>C326-D326+E326+G326</f>
        <v>5934.8015999999998</v>
      </c>
    </row>
    <row r="327" spans="1:8" ht="51" customHeight="1" x14ac:dyDescent="0.3">
      <c r="A327" s="80" t="s">
        <v>133</v>
      </c>
      <c r="B327" s="116" t="s">
        <v>90</v>
      </c>
      <c r="C327" s="133">
        <f>4614*1.05</f>
        <v>4844.7</v>
      </c>
      <c r="D327" s="133"/>
      <c r="E327" s="133">
        <v>120</v>
      </c>
      <c r="F327" s="133"/>
      <c r="G327" s="341"/>
      <c r="H327" s="147">
        <f>C327-D327+E327+G327</f>
        <v>4964.7</v>
      </c>
    </row>
    <row r="328" spans="1:8" ht="51" customHeight="1" x14ac:dyDescent="0.3">
      <c r="A328" s="80" t="s">
        <v>135</v>
      </c>
      <c r="B328" s="128" t="s">
        <v>105</v>
      </c>
      <c r="C328" s="133">
        <f>4432*1.05*1.05*1.05</f>
        <v>5130.594000000001</v>
      </c>
      <c r="D328" s="134"/>
      <c r="E328" s="134">
        <v>90</v>
      </c>
      <c r="F328" s="134"/>
      <c r="G328" s="341"/>
      <c r="H328" s="147">
        <f>C328-D328+E328+G328</f>
        <v>5220.594000000001</v>
      </c>
    </row>
    <row r="329" spans="1:8" ht="51" customHeight="1" x14ac:dyDescent="0.3">
      <c r="A329" s="80" t="s">
        <v>136</v>
      </c>
      <c r="B329" s="10" t="s">
        <v>115</v>
      </c>
      <c r="C329" s="133">
        <f>3819*1.05*1.05*1.05</f>
        <v>4420.9698750000007</v>
      </c>
      <c r="D329" s="133"/>
      <c r="E329" s="133">
        <v>129</v>
      </c>
      <c r="F329" s="133"/>
      <c r="G329" s="341"/>
      <c r="H329" s="147">
        <f t="shared" ref="H329:H331" si="59">C329-D329+E329+G329</f>
        <v>4549.9698750000007</v>
      </c>
    </row>
    <row r="330" spans="1:8" ht="51" customHeight="1" x14ac:dyDescent="0.3">
      <c r="A330" s="53" t="s">
        <v>216</v>
      </c>
      <c r="B330" s="10" t="s">
        <v>90</v>
      </c>
      <c r="C330" s="134">
        <f>4614*1.05</f>
        <v>4844.7</v>
      </c>
      <c r="D330" s="134"/>
      <c r="E330" s="134">
        <v>120</v>
      </c>
      <c r="F330" s="134"/>
      <c r="G330" s="341"/>
      <c r="H330" s="147">
        <f t="shared" si="59"/>
        <v>4964.7</v>
      </c>
    </row>
    <row r="331" spans="1:8" ht="51" customHeight="1" thickBot="1" x14ac:dyDescent="0.35">
      <c r="A331" s="84" t="s">
        <v>270</v>
      </c>
      <c r="B331" s="10" t="s">
        <v>271</v>
      </c>
      <c r="C331" s="133">
        <f>4614*1.05</f>
        <v>4844.7</v>
      </c>
      <c r="D331" s="133"/>
      <c r="E331" s="133">
        <v>120</v>
      </c>
      <c r="F331" s="133"/>
      <c r="G331" s="341"/>
      <c r="H331" s="147">
        <f t="shared" si="59"/>
        <v>4964.7</v>
      </c>
    </row>
    <row r="332" spans="1:8" ht="25.5" customHeight="1" thickTop="1" thickBot="1" x14ac:dyDescent="0.35">
      <c r="B332" s="213" t="s">
        <v>6</v>
      </c>
      <c r="C332" s="142">
        <f t="shared" ref="C332:G332" si="60">SUM(C324:C331)</f>
        <v>42988.511474999999</v>
      </c>
      <c r="D332" s="142">
        <f t="shared" si="60"/>
        <v>561.83400000000006</v>
      </c>
      <c r="E332" s="142">
        <f t="shared" si="60"/>
        <v>669</v>
      </c>
      <c r="F332" s="142">
        <f t="shared" si="60"/>
        <v>0</v>
      </c>
      <c r="G332" s="142">
        <f t="shared" si="60"/>
        <v>0</v>
      </c>
      <c r="H332" s="142">
        <f>SUM(H324:H331)</f>
        <v>43095.677474999997</v>
      </c>
    </row>
    <row r="333" spans="1:8" ht="25.5" customHeight="1" thickBot="1" x14ac:dyDescent="0.35">
      <c r="B333" s="136" t="s">
        <v>215</v>
      </c>
      <c r="C333" s="137">
        <f>C332-[16]MADRE!$H$421</f>
        <v>0</v>
      </c>
      <c r="D333" s="137">
        <f>D332-[5]MADRE!$I$423</f>
        <v>0</v>
      </c>
      <c r="E333" s="137">
        <f>E332-[16]MADRE!$J$421</f>
        <v>0</v>
      </c>
      <c r="F333" s="137">
        <f>F332-[2]MADRE!K$436</f>
        <v>0</v>
      </c>
      <c r="G333" s="137">
        <f>G332-[3]MADRE!$L$421</f>
        <v>0</v>
      </c>
      <c r="H333" s="137">
        <f>H332-[3]MADRE!$M$421</f>
        <v>0</v>
      </c>
    </row>
    <row r="334" spans="1:8" ht="15" customHeight="1" x14ac:dyDescent="0.3">
      <c r="A334" s="12" t="s">
        <v>204</v>
      </c>
      <c r="B334" s="15"/>
      <c r="C334" s="15"/>
      <c r="D334" s="15"/>
      <c r="E334" s="15"/>
      <c r="F334" s="15"/>
      <c r="G334" s="337"/>
      <c r="H334" s="15"/>
    </row>
    <row r="335" spans="1:8" ht="40.5" customHeight="1" x14ac:dyDescent="0.3">
      <c r="A335" s="52" t="s">
        <v>372</v>
      </c>
      <c r="B335" s="20" t="s">
        <v>393</v>
      </c>
      <c r="C335" s="141">
        <f>6691*1.04*1.05*1.05</f>
        <v>7671.9006000000018</v>
      </c>
      <c r="D335" s="138">
        <f>220*1.04*1.05*1.05</f>
        <v>252.25200000000001</v>
      </c>
      <c r="E335" s="138"/>
      <c r="F335" s="138"/>
      <c r="G335" s="135"/>
      <c r="H335" s="138">
        <f>C335-D335+E335+F335+G335</f>
        <v>7419.6486000000014</v>
      </c>
    </row>
    <row r="336" spans="1:8" ht="40.5" customHeight="1" x14ac:dyDescent="0.3">
      <c r="A336" s="53" t="s">
        <v>152</v>
      </c>
      <c r="B336" s="10" t="s">
        <v>395</v>
      </c>
      <c r="C336" s="133">
        <f>6140*1.04*1.05*1.05</f>
        <v>7040.1240000000016</v>
      </c>
      <c r="D336" s="134">
        <f>183*1.04*1.05*1.05</f>
        <v>209.82780000000002</v>
      </c>
      <c r="E336" s="134"/>
      <c r="F336" s="134"/>
      <c r="G336" s="135"/>
      <c r="H336" s="134">
        <f>C336-D336+E336+F336+G336</f>
        <v>6830.2962000000016</v>
      </c>
    </row>
    <row r="337" spans="1:8" ht="40.5" customHeight="1" x14ac:dyDescent="0.3">
      <c r="A337" s="53" t="s">
        <v>231</v>
      </c>
      <c r="B337" s="10" t="s">
        <v>90</v>
      </c>
      <c r="C337" s="133">
        <f>3931.2*1.05</f>
        <v>4127.76</v>
      </c>
      <c r="D337" s="134"/>
      <c r="E337" s="134">
        <v>130</v>
      </c>
      <c r="F337" s="134"/>
      <c r="G337" s="135"/>
      <c r="H337" s="134">
        <f>C337-D337+E337+F337+G337</f>
        <v>4257.76</v>
      </c>
    </row>
    <row r="338" spans="1:8" ht="40.5" customHeight="1" x14ac:dyDescent="0.3">
      <c r="A338" s="53" t="s">
        <v>138</v>
      </c>
      <c r="B338" s="214" t="s">
        <v>90</v>
      </c>
      <c r="C338" s="133">
        <f>3543*1.05*1.05*1.05</f>
        <v>4101.4653750000007</v>
      </c>
      <c r="D338" s="134"/>
      <c r="E338" s="170">
        <v>130</v>
      </c>
      <c r="F338" s="170"/>
      <c r="G338" s="135"/>
      <c r="H338" s="134">
        <f t="shared" ref="H338:H343" si="61">C338-D338+E338+F338+G338</f>
        <v>4231.4653750000007</v>
      </c>
    </row>
    <row r="339" spans="1:8" ht="40.5" customHeight="1" x14ac:dyDescent="0.3">
      <c r="A339" s="53" t="s">
        <v>140</v>
      </c>
      <c r="B339" s="10" t="s">
        <v>129</v>
      </c>
      <c r="C339" s="133">
        <f>4067*1.05*1.05*1.05</f>
        <v>4708.0608750000001</v>
      </c>
      <c r="D339" s="134"/>
      <c r="E339" s="134">
        <v>110</v>
      </c>
      <c r="F339" s="134"/>
      <c r="G339" s="135"/>
      <c r="H339" s="134">
        <f t="shared" si="61"/>
        <v>4818.0608750000001</v>
      </c>
    </row>
    <row r="340" spans="1:8" ht="40.5" customHeight="1" x14ac:dyDescent="0.3">
      <c r="A340" s="51" t="s">
        <v>153</v>
      </c>
      <c r="B340" s="22" t="s">
        <v>130</v>
      </c>
      <c r="C340" s="133">
        <f>4013*1.05*1.05*1.05</f>
        <v>4645.5491250000005</v>
      </c>
      <c r="D340" s="133"/>
      <c r="E340" s="133">
        <v>110</v>
      </c>
      <c r="F340" s="133"/>
      <c r="G340" s="135"/>
      <c r="H340" s="134">
        <f t="shared" si="61"/>
        <v>4755.5491250000005</v>
      </c>
    </row>
    <row r="341" spans="1:8" ht="50.25" customHeight="1" x14ac:dyDescent="0.3">
      <c r="A341" s="51" t="s">
        <v>233</v>
      </c>
      <c r="B341" s="127" t="s">
        <v>234</v>
      </c>
      <c r="C341" s="133">
        <f>2347*1.05*1.05*1.05</f>
        <v>2716.9458750000003</v>
      </c>
      <c r="D341" s="133"/>
      <c r="E341" s="133">
        <v>150</v>
      </c>
      <c r="F341" s="133"/>
      <c r="G341" s="135"/>
      <c r="H341" s="134">
        <f t="shared" si="61"/>
        <v>2866.9458750000003</v>
      </c>
    </row>
    <row r="342" spans="1:8" ht="50.25" customHeight="1" x14ac:dyDescent="0.3">
      <c r="A342" s="51" t="s">
        <v>428</v>
      </c>
      <c r="B342" s="22" t="s">
        <v>105</v>
      </c>
      <c r="C342" s="133">
        <f>3587.85*1.05*1.05</f>
        <v>3955.6046250000004</v>
      </c>
      <c r="D342" s="133"/>
      <c r="E342" s="133"/>
      <c r="F342" s="133"/>
      <c r="G342" s="135"/>
      <c r="H342" s="134">
        <f t="shared" si="61"/>
        <v>3955.6046250000004</v>
      </c>
    </row>
    <row r="343" spans="1:8" ht="40.5" customHeight="1" thickBot="1" x14ac:dyDescent="0.35">
      <c r="A343" s="53" t="s">
        <v>232</v>
      </c>
      <c r="B343" s="10" t="s">
        <v>83</v>
      </c>
      <c r="C343" s="133">
        <f>3670.22*1.05</f>
        <v>3853.7309999999998</v>
      </c>
      <c r="D343" s="133"/>
      <c r="E343" s="133">
        <v>140</v>
      </c>
      <c r="F343" s="133"/>
      <c r="G343" s="135"/>
      <c r="H343" s="134">
        <f t="shared" si="61"/>
        <v>3993.7309999999998</v>
      </c>
    </row>
    <row r="344" spans="1:8" ht="25.5" customHeight="1" thickTop="1" thickBot="1" x14ac:dyDescent="0.35">
      <c r="A344" s="53"/>
      <c r="B344" s="213" t="s">
        <v>6</v>
      </c>
      <c r="C344" s="142">
        <f t="shared" ref="C344:G344" si="62">SUM(C335:C343)</f>
        <v>42821.141475000004</v>
      </c>
      <c r="D344" s="142">
        <f t="shared" si="62"/>
        <v>462.07980000000003</v>
      </c>
      <c r="E344" s="142">
        <f t="shared" si="62"/>
        <v>770</v>
      </c>
      <c r="F344" s="142">
        <f t="shared" si="62"/>
        <v>0</v>
      </c>
      <c r="G344" s="142">
        <f t="shared" si="62"/>
        <v>0</v>
      </c>
      <c r="H344" s="142">
        <f>SUM(H335:H343)</f>
        <v>43129.061675000004</v>
      </c>
    </row>
    <row r="345" spans="1:8" ht="25.5" customHeight="1" thickBot="1" x14ac:dyDescent="0.35">
      <c r="A345" s="53"/>
      <c r="B345" s="136" t="s">
        <v>215</v>
      </c>
      <c r="C345" s="137">
        <f>C344-[5]MADRE!$H$438</f>
        <v>0</v>
      </c>
      <c r="D345" s="137">
        <f>D344-[5]MADRE!$I$438</f>
        <v>0</v>
      </c>
      <c r="E345" s="137">
        <f>E344-[29]MADRE!$J$447</f>
        <v>0</v>
      </c>
      <c r="F345" s="137">
        <f>F344-[2]MADRE!K$452</f>
        <v>0</v>
      </c>
      <c r="G345" s="137">
        <f>G344-[3]MADRE!$L$436</f>
        <v>0</v>
      </c>
      <c r="H345" s="137">
        <f>H344-[3]MADRE!$M$436</f>
        <v>0</v>
      </c>
    </row>
    <row r="346" spans="1:8" ht="15" customHeight="1" x14ac:dyDescent="0.3">
      <c r="A346" s="42" t="s">
        <v>205</v>
      </c>
      <c r="B346" s="27"/>
      <c r="C346" s="27"/>
      <c r="D346" s="27"/>
      <c r="E346" s="27"/>
      <c r="F346" s="27"/>
      <c r="G346" s="215"/>
      <c r="H346" s="27"/>
    </row>
    <row r="347" spans="1:8" ht="44.25" customHeight="1" x14ac:dyDescent="0.3">
      <c r="A347" s="94" t="s">
        <v>400</v>
      </c>
      <c r="B347" s="22" t="s">
        <v>401</v>
      </c>
      <c r="C347" s="133">
        <f>3500*1.04*1.05*1.05</f>
        <v>4013.1000000000004</v>
      </c>
      <c r="D347" s="215"/>
      <c r="E347" s="215"/>
      <c r="F347" s="215"/>
      <c r="G347" s="336"/>
      <c r="H347" s="134">
        <f>C347+G347</f>
        <v>4013.1000000000004</v>
      </c>
    </row>
    <row r="348" spans="1:8" ht="48" customHeight="1" thickBot="1" x14ac:dyDescent="0.35">
      <c r="A348" s="51" t="s">
        <v>243</v>
      </c>
      <c r="B348" s="22" t="s">
        <v>285</v>
      </c>
      <c r="C348" s="133">
        <f>2915*1.05*1.05*1.05</f>
        <v>3374.4768749999998</v>
      </c>
      <c r="D348" s="133"/>
      <c r="E348" s="133">
        <v>155</v>
      </c>
      <c r="F348" s="133"/>
      <c r="G348" s="336"/>
      <c r="H348" s="134">
        <f>C348-D348+E348+G348</f>
        <v>3529.4768749999998</v>
      </c>
    </row>
    <row r="349" spans="1:8" ht="25.5" customHeight="1" thickTop="1" thickBot="1" x14ac:dyDescent="0.35">
      <c r="B349" s="37" t="s">
        <v>6</v>
      </c>
      <c r="C349" s="142">
        <f t="shared" ref="C349:G349" si="63">SUM(C347:C348)</f>
        <v>7387.5768750000007</v>
      </c>
      <c r="D349" s="142">
        <f t="shared" si="63"/>
        <v>0</v>
      </c>
      <c r="E349" s="142">
        <f t="shared" si="63"/>
        <v>155</v>
      </c>
      <c r="F349" s="142">
        <f t="shared" si="63"/>
        <v>0</v>
      </c>
      <c r="G349" s="142">
        <f t="shared" si="63"/>
        <v>0</v>
      </c>
      <c r="H349" s="142">
        <f>SUM(H347:H348)</f>
        <v>7542.5768750000007</v>
      </c>
    </row>
    <row r="350" spans="1:8" ht="25.5" customHeight="1" thickBot="1" x14ac:dyDescent="0.35">
      <c r="B350" s="136" t="s">
        <v>215</v>
      </c>
      <c r="C350" s="137">
        <f>C349-[5]MADRE!$H$443</f>
        <v>0</v>
      </c>
      <c r="D350" s="137">
        <f>D349-[2]MADRE!I$456</f>
        <v>0</v>
      </c>
      <c r="E350" s="137">
        <f>E349-[2]MADRE!J$456</f>
        <v>0</v>
      </c>
      <c r="F350" s="137">
        <f>F349-[2]MADRE!K$456</f>
        <v>0</v>
      </c>
      <c r="G350" s="137">
        <f>G349-[3]MADRE!$L$442</f>
        <v>0</v>
      </c>
      <c r="H350" s="137">
        <f>H349-[3]MADRE!$M$441</f>
        <v>0</v>
      </c>
    </row>
    <row r="351" spans="1:8" ht="15" customHeight="1" x14ac:dyDescent="0.3">
      <c r="A351" s="12" t="s">
        <v>150</v>
      </c>
      <c r="B351" s="15"/>
      <c r="C351" s="15"/>
      <c r="D351" s="15"/>
      <c r="E351" s="15"/>
      <c r="F351" s="15"/>
      <c r="G351" s="337"/>
      <c r="H351" s="15"/>
    </row>
    <row r="352" spans="1:8" ht="51" customHeight="1" x14ac:dyDescent="0.3">
      <c r="A352" s="53" t="s">
        <v>155</v>
      </c>
      <c r="B352" s="9" t="s">
        <v>154</v>
      </c>
      <c r="C352" s="134">
        <f>1548*1.04*1.05*1.05</f>
        <v>1774.9368000000002</v>
      </c>
      <c r="D352" s="134"/>
      <c r="E352" s="134">
        <v>175</v>
      </c>
      <c r="F352" s="135"/>
      <c r="G352" s="135"/>
      <c r="H352" s="133">
        <f>C352+E352+G352</f>
        <v>1949.9368000000002</v>
      </c>
    </row>
    <row r="353" spans="1:8" ht="51" customHeight="1" x14ac:dyDescent="0.3">
      <c r="A353" s="53" t="s">
        <v>156</v>
      </c>
      <c r="B353" s="9" t="s">
        <v>154</v>
      </c>
      <c r="C353" s="134">
        <f>1548*1.04*1.05*1.05</f>
        <v>1774.9368000000002</v>
      </c>
      <c r="D353" s="134"/>
      <c r="E353" s="134">
        <v>175</v>
      </c>
      <c r="F353" s="135"/>
      <c r="G353" s="135"/>
      <c r="H353" s="133">
        <f>C353+E353+G353</f>
        <v>1949.9368000000002</v>
      </c>
    </row>
    <row r="354" spans="1:8" ht="51" customHeight="1" x14ac:dyDescent="0.3">
      <c r="A354" s="53" t="s">
        <v>157</v>
      </c>
      <c r="B354" s="9" t="s">
        <v>154</v>
      </c>
      <c r="C354" s="134">
        <f>2055*1.04*1.05*1.05</f>
        <v>2356.2630000000004</v>
      </c>
      <c r="D354" s="134"/>
      <c r="E354" s="134">
        <v>167</v>
      </c>
      <c r="F354" s="135"/>
      <c r="G354" s="135"/>
      <c r="H354" s="133">
        <f t="shared" ref="H354:H392" si="64">C354+E354+G354</f>
        <v>2523.2630000000004</v>
      </c>
    </row>
    <row r="355" spans="1:8" ht="51" customHeight="1" x14ac:dyDescent="0.3">
      <c r="A355" s="53" t="s">
        <v>158</v>
      </c>
      <c r="B355" s="9" t="s">
        <v>154</v>
      </c>
      <c r="C355" s="134">
        <f>3114*1.04*1.05*1.05</f>
        <v>3570.5124000000005</v>
      </c>
      <c r="D355" s="134"/>
      <c r="E355" s="134">
        <v>142</v>
      </c>
      <c r="F355" s="135"/>
      <c r="G355" s="135"/>
      <c r="H355" s="133">
        <f t="shared" si="64"/>
        <v>3712.5124000000005</v>
      </c>
    </row>
    <row r="356" spans="1:8" ht="51" customHeight="1" x14ac:dyDescent="0.3">
      <c r="A356" s="53" t="s">
        <v>159</v>
      </c>
      <c r="B356" s="9" t="s">
        <v>154</v>
      </c>
      <c r="C356" s="134">
        <f>1377*1.04*1.05*1.05</f>
        <v>1578.8682000000003</v>
      </c>
      <c r="D356" s="134"/>
      <c r="E356" s="134">
        <v>175</v>
      </c>
      <c r="F356" s="135"/>
      <c r="G356" s="135"/>
      <c r="H356" s="133">
        <f t="shared" si="64"/>
        <v>1753.8682000000003</v>
      </c>
    </row>
    <row r="357" spans="1:8" ht="51" customHeight="1" x14ac:dyDescent="0.3">
      <c r="A357" s="53" t="s">
        <v>160</v>
      </c>
      <c r="B357" s="9" t="s">
        <v>154</v>
      </c>
      <c r="C357" s="134">
        <f>3616*1.04*1.05*1.05</f>
        <v>4146.1056000000008</v>
      </c>
      <c r="D357" s="134"/>
      <c r="E357" s="134">
        <v>129</v>
      </c>
      <c r="F357" s="135"/>
      <c r="G357" s="135"/>
      <c r="H357" s="133">
        <f t="shared" si="64"/>
        <v>4275.1056000000008</v>
      </c>
    </row>
    <row r="358" spans="1:8" ht="51" customHeight="1" x14ac:dyDescent="0.3">
      <c r="A358" s="53" t="s">
        <v>161</v>
      </c>
      <c r="B358" s="9" t="s">
        <v>154</v>
      </c>
      <c r="C358" s="134">
        <f>4415*1.04*1.05*1.05</f>
        <v>5062.2390000000005</v>
      </c>
      <c r="D358" s="134"/>
      <c r="E358" s="134">
        <v>90</v>
      </c>
      <c r="F358" s="135"/>
      <c r="G358" s="135"/>
      <c r="H358" s="133">
        <f t="shared" si="64"/>
        <v>5152.2390000000005</v>
      </c>
    </row>
    <row r="359" spans="1:8" ht="51" customHeight="1" x14ac:dyDescent="0.3">
      <c r="A359" s="53" t="s">
        <v>162</v>
      </c>
      <c r="B359" s="9" t="s">
        <v>154</v>
      </c>
      <c r="C359" s="134">
        <f>4946.24*1.05*1.05</f>
        <v>5453.2295999999997</v>
      </c>
      <c r="D359" s="134"/>
      <c r="E359" s="134">
        <v>90</v>
      </c>
      <c r="F359" s="135"/>
      <c r="G359" s="135"/>
      <c r="H359" s="133">
        <f t="shared" si="64"/>
        <v>5543.2295999999997</v>
      </c>
    </row>
    <row r="360" spans="1:8" ht="51" customHeight="1" x14ac:dyDescent="0.3">
      <c r="A360" s="53" t="s">
        <v>163</v>
      </c>
      <c r="B360" s="9" t="s">
        <v>154</v>
      </c>
      <c r="C360" s="134">
        <f>4415*1.04*1.05*1.05</f>
        <v>5062.2390000000005</v>
      </c>
      <c r="D360" s="134"/>
      <c r="E360" s="134">
        <v>90</v>
      </c>
      <c r="F360" s="135"/>
      <c r="G360" s="135"/>
      <c r="H360" s="133">
        <f t="shared" si="64"/>
        <v>5152.2390000000005</v>
      </c>
    </row>
    <row r="361" spans="1:8" ht="51" customHeight="1" x14ac:dyDescent="0.3">
      <c r="A361" s="53" t="s">
        <v>164</v>
      </c>
      <c r="B361" s="9" t="s">
        <v>154</v>
      </c>
      <c r="C361" s="134">
        <f>4415*1.04*1.05*1.05</f>
        <v>5062.2390000000005</v>
      </c>
      <c r="D361" s="134"/>
      <c r="E361" s="134">
        <v>90</v>
      </c>
      <c r="F361" s="135"/>
      <c r="G361" s="135"/>
      <c r="H361" s="133">
        <f t="shared" si="64"/>
        <v>5152.2390000000005</v>
      </c>
    </row>
    <row r="362" spans="1:8" ht="51" customHeight="1" x14ac:dyDescent="0.3">
      <c r="A362" s="53" t="s">
        <v>165</v>
      </c>
      <c r="B362" s="9" t="s">
        <v>154</v>
      </c>
      <c r="C362" s="134">
        <f>4415*1.04*1.05*1.05</f>
        <v>5062.2390000000005</v>
      </c>
      <c r="D362" s="134"/>
      <c r="E362" s="134">
        <v>90</v>
      </c>
      <c r="F362" s="135"/>
      <c r="G362" s="135"/>
      <c r="H362" s="133">
        <f t="shared" si="64"/>
        <v>5152.2390000000005</v>
      </c>
    </row>
    <row r="363" spans="1:8" ht="51" customHeight="1" x14ac:dyDescent="0.3">
      <c r="A363" s="53" t="s">
        <v>166</v>
      </c>
      <c r="B363" s="9" t="s">
        <v>154</v>
      </c>
      <c r="C363" s="134">
        <f>4067*1.04*1.05*1.05</f>
        <v>4663.2222000000011</v>
      </c>
      <c r="D363" s="134"/>
      <c r="E363" s="134">
        <v>111</v>
      </c>
      <c r="F363" s="135"/>
      <c r="G363" s="135"/>
      <c r="H363" s="133">
        <f t="shared" si="64"/>
        <v>4774.2222000000011</v>
      </c>
    </row>
    <row r="364" spans="1:8" ht="51" customHeight="1" x14ac:dyDescent="0.3">
      <c r="A364" s="62" t="s">
        <v>167</v>
      </c>
      <c r="B364" s="9" t="s">
        <v>154</v>
      </c>
      <c r="C364" s="134">
        <f>3026*1.04*1.05*1.05</f>
        <v>3469.6116000000006</v>
      </c>
      <c r="D364" s="134"/>
      <c r="E364" s="134">
        <v>142</v>
      </c>
      <c r="F364" s="134"/>
      <c r="G364" s="135"/>
      <c r="H364" s="133">
        <f t="shared" si="64"/>
        <v>3611.6116000000006</v>
      </c>
    </row>
    <row r="365" spans="1:8" ht="51" customHeight="1" x14ac:dyDescent="0.3">
      <c r="A365" s="53" t="s">
        <v>168</v>
      </c>
      <c r="B365" s="9" t="s">
        <v>154</v>
      </c>
      <c r="C365" s="134">
        <f>4415*1.04*1.05*1.05</f>
        <v>5062.2390000000005</v>
      </c>
      <c r="D365" s="134"/>
      <c r="E365" s="134">
        <v>90</v>
      </c>
      <c r="F365" s="134"/>
      <c r="G365" s="135"/>
      <c r="H365" s="133">
        <f t="shared" si="64"/>
        <v>5152.2390000000005</v>
      </c>
    </row>
    <row r="366" spans="1:8" ht="51" customHeight="1" x14ac:dyDescent="0.3">
      <c r="A366" s="53" t="s">
        <v>169</v>
      </c>
      <c r="B366" s="9" t="s">
        <v>154</v>
      </c>
      <c r="C366" s="134">
        <f>3742*1.04*1.05*1.05</f>
        <v>4290.5772000000006</v>
      </c>
      <c r="D366" s="134"/>
      <c r="E366" s="134">
        <v>129</v>
      </c>
      <c r="F366" s="134"/>
      <c r="G366" s="135"/>
      <c r="H366" s="133">
        <f t="shared" si="64"/>
        <v>4419.5772000000006</v>
      </c>
    </row>
    <row r="367" spans="1:8" ht="51" customHeight="1" x14ac:dyDescent="0.3">
      <c r="A367" s="53" t="s">
        <v>119</v>
      </c>
      <c r="B367" s="9" t="s">
        <v>154</v>
      </c>
      <c r="C367" s="134">
        <f>8202*1.04*1.05*1.05</f>
        <v>9404.4132000000009</v>
      </c>
      <c r="D367" s="134"/>
      <c r="E367" s="134"/>
      <c r="F367" s="134"/>
      <c r="G367" s="135"/>
      <c r="H367" s="133">
        <f t="shared" si="64"/>
        <v>9404.4132000000009</v>
      </c>
    </row>
    <row r="368" spans="1:8" ht="51" customHeight="1" x14ac:dyDescent="0.3">
      <c r="A368" s="53" t="s">
        <v>244</v>
      </c>
      <c r="B368" s="9" t="s">
        <v>154</v>
      </c>
      <c r="C368" s="134">
        <f>2651*1.04*1.05*1.05</f>
        <v>3039.6366000000003</v>
      </c>
      <c r="D368" s="134"/>
      <c r="E368" s="134">
        <v>142</v>
      </c>
      <c r="F368" s="134"/>
      <c r="G368" s="135"/>
      <c r="H368" s="133">
        <f t="shared" si="64"/>
        <v>3181.6366000000003</v>
      </c>
    </row>
    <row r="369" spans="1:8" ht="40.5" customHeight="1" x14ac:dyDescent="0.3">
      <c r="A369" s="51" t="s">
        <v>94</v>
      </c>
      <c r="B369" s="9" t="s">
        <v>154</v>
      </c>
      <c r="C369" s="133">
        <f>4415*1.04*1.05*1.05</f>
        <v>5062.2390000000005</v>
      </c>
      <c r="D369" s="133"/>
      <c r="E369" s="133">
        <v>90</v>
      </c>
      <c r="F369" s="133"/>
      <c r="G369" s="135"/>
      <c r="H369" s="133">
        <f t="shared" si="64"/>
        <v>5152.2390000000005</v>
      </c>
    </row>
    <row r="370" spans="1:8" ht="40.5" customHeight="1" x14ac:dyDescent="0.3">
      <c r="A370" s="61" t="s">
        <v>34</v>
      </c>
      <c r="B370" s="129" t="s">
        <v>272</v>
      </c>
      <c r="C370" s="133">
        <f>3784*1.04*1.05*1.05</f>
        <v>4338.7344000000012</v>
      </c>
      <c r="D370" s="180"/>
      <c r="E370" s="216">
        <v>90</v>
      </c>
      <c r="F370" s="217"/>
      <c r="G370" s="135"/>
      <c r="H370" s="133">
        <f t="shared" si="64"/>
        <v>4428.7344000000012</v>
      </c>
    </row>
    <row r="371" spans="1:8" ht="40.5" customHeight="1" x14ac:dyDescent="0.3">
      <c r="A371" s="51" t="s">
        <v>283</v>
      </c>
      <c r="B371" s="22" t="s">
        <v>272</v>
      </c>
      <c r="C371" s="133">
        <f>3312*1.04*1.05*1.05</f>
        <v>3797.5392000000002</v>
      </c>
      <c r="D371" s="180"/>
      <c r="E371" s="180">
        <v>138</v>
      </c>
      <c r="F371" s="180"/>
      <c r="G371" s="135"/>
      <c r="H371" s="133">
        <f t="shared" si="64"/>
        <v>3935.5392000000002</v>
      </c>
    </row>
    <row r="372" spans="1:8" ht="40.5" customHeight="1" x14ac:dyDescent="0.3">
      <c r="A372" s="95" t="s">
        <v>107</v>
      </c>
      <c r="B372" s="23" t="s">
        <v>272</v>
      </c>
      <c r="C372" s="176">
        <f>3709*1.04*1.05*1.05</f>
        <v>4252.7394000000004</v>
      </c>
      <c r="D372" s="176"/>
      <c r="E372" s="176">
        <v>129</v>
      </c>
      <c r="F372" s="176"/>
      <c r="G372" s="135"/>
      <c r="H372" s="133">
        <f t="shared" si="64"/>
        <v>4381.7394000000004</v>
      </c>
    </row>
    <row r="373" spans="1:8" ht="40.5" customHeight="1" x14ac:dyDescent="0.3">
      <c r="A373" s="53" t="s">
        <v>139</v>
      </c>
      <c r="B373" s="111" t="s">
        <v>278</v>
      </c>
      <c r="C373" s="133">
        <f>2646*1.04*1.05*1.05</f>
        <v>3033.9036000000006</v>
      </c>
      <c r="D373" s="133"/>
      <c r="E373" s="147">
        <v>129</v>
      </c>
      <c r="F373" s="148"/>
      <c r="G373" s="135"/>
      <c r="H373" s="133">
        <f t="shared" si="64"/>
        <v>3162.9036000000006</v>
      </c>
    </row>
    <row r="374" spans="1:8" ht="51" customHeight="1" x14ac:dyDescent="0.3">
      <c r="A374" s="53" t="s">
        <v>137</v>
      </c>
      <c r="B374" s="10" t="s">
        <v>272</v>
      </c>
      <c r="C374" s="133">
        <f>4403*1.04*1.05*1.05</f>
        <v>5048.4798000000001</v>
      </c>
      <c r="D374" s="133"/>
      <c r="E374" s="133">
        <v>90</v>
      </c>
      <c r="F374" s="133"/>
      <c r="G374" s="135"/>
      <c r="H374" s="133">
        <f t="shared" si="64"/>
        <v>5138.4798000000001</v>
      </c>
    </row>
    <row r="375" spans="1:8" ht="51" customHeight="1" x14ac:dyDescent="0.3">
      <c r="A375" s="53" t="s">
        <v>141</v>
      </c>
      <c r="B375" s="10" t="s">
        <v>272</v>
      </c>
      <c r="C375" s="133">
        <f>4067*1.04*1.05*1.05</f>
        <v>4663.2222000000011</v>
      </c>
      <c r="D375" s="134"/>
      <c r="E375" s="134">
        <v>111</v>
      </c>
      <c r="F375" s="134"/>
      <c r="G375" s="135"/>
      <c r="H375" s="133">
        <f t="shared" si="64"/>
        <v>4774.2222000000011</v>
      </c>
    </row>
    <row r="376" spans="1:8" ht="51" customHeight="1" x14ac:dyDescent="0.3">
      <c r="A376" s="53" t="s">
        <v>122</v>
      </c>
      <c r="B376" s="131" t="s">
        <v>272</v>
      </c>
      <c r="C376" s="133">
        <f>7215*1.04*1.05*1.05</f>
        <v>8272.719000000001</v>
      </c>
      <c r="D376" s="133"/>
      <c r="E376" s="133"/>
      <c r="F376" s="133"/>
      <c r="G376" s="135"/>
      <c r="H376" s="133">
        <f t="shared" si="64"/>
        <v>8272.719000000001</v>
      </c>
    </row>
    <row r="377" spans="1:8" ht="51" customHeight="1" x14ac:dyDescent="0.3">
      <c r="A377" s="51" t="s">
        <v>108</v>
      </c>
      <c r="B377" s="10" t="s">
        <v>272</v>
      </c>
      <c r="C377" s="133">
        <f>4415*1.04*1.05*1.05</f>
        <v>5062.2390000000005</v>
      </c>
      <c r="D377" s="176"/>
      <c r="E377" s="176">
        <v>90</v>
      </c>
      <c r="F377" s="176"/>
      <c r="G377" s="135"/>
      <c r="H377" s="133">
        <f t="shared" si="64"/>
        <v>5152.2390000000005</v>
      </c>
    </row>
    <row r="378" spans="1:8" ht="51" customHeight="1" x14ac:dyDescent="0.3">
      <c r="A378" s="51" t="s">
        <v>324</v>
      </c>
      <c r="B378" s="10" t="s">
        <v>272</v>
      </c>
      <c r="C378" s="133">
        <f>6515*1.04*1.05*1.05</f>
        <v>7470.0990000000011</v>
      </c>
      <c r="D378" s="176"/>
      <c r="E378" s="176"/>
      <c r="F378" s="176"/>
      <c r="G378" s="135"/>
      <c r="H378" s="133">
        <f t="shared" si="64"/>
        <v>7470.0990000000011</v>
      </c>
    </row>
    <row r="379" spans="1:8" ht="51" customHeight="1" x14ac:dyDescent="0.3">
      <c r="A379" s="51" t="s">
        <v>325</v>
      </c>
      <c r="B379" s="10" t="s">
        <v>272</v>
      </c>
      <c r="C379" s="133">
        <f>7215*1.04*1.05*1.05</f>
        <v>8272.719000000001</v>
      </c>
      <c r="D379" s="176"/>
      <c r="E379" s="176"/>
      <c r="F379" s="176"/>
      <c r="G379" s="135"/>
      <c r="H379" s="133">
        <f t="shared" si="64"/>
        <v>8272.719000000001</v>
      </c>
    </row>
    <row r="380" spans="1:8" ht="51" customHeight="1" x14ac:dyDescent="0.3">
      <c r="A380" s="53" t="s">
        <v>120</v>
      </c>
      <c r="B380" s="218" t="s">
        <v>272</v>
      </c>
      <c r="C380" s="133">
        <f>6335*1.04*1.05*1.05</f>
        <v>7263.7110000000011</v>
      </c>
      <c r="D380" s="176"/>
      <c r="E380" s="176"/>
      <c r="F380" s="176"/>
      <c r="G380" s="135"/>
      <c r="H380" s="133">
        <f t="shared" si="64"/>
        <v>7263.7110000000011</v>
      </c>
    </row>
    <row r="381" spans="1:8" ht="51" customHeight="1" x14ac:dyDescent="0.3">
      <c r="A381" s="53" t="s">
        <v>125</v>
      </c>
      <c r="B381" s="22" t="s">
        <v>272</v>
      </c>
      <c r="C381" s="133">
        <f>4817*1.04*1.05*1.05</f>
        <v>5523.1722000000009</v>
      </c>
      <c r="D381" s="133"/>
      <c r="E381" s="176"/>
      <c r="F381" s="176"/>
      <c r="G381" s="135"/>
      <c r="H381" s="133">
        <f t="shared" si="64"/>
        <v>5523.1722000000009</v>
      </c>
    </row>
    <row r="382" spans="1:8" ht="51" customHeight="1" x14ac:dyDescent="0.3">
      <c r="A382" s="53" t="s">
        <v>373</v>
      </c>
      <c r="B382" s="22" t="s">
        <v>272</v>
      </c>
      <c r="C382" s="133">
        <f>8886*1.04*1.05*1.05</f>
        <v>10188.687600000001</v>
      </c>
      <c r="D382" s="133"/>
      <c r="E382" s="176"/>
      <c r="F382" s="176"/>
      <c r="G382" s="135"/>
      <c r="H382" s="133">
        <f t="shared" si="64"/>
        <v>10188.687600000001</v>
      </c>
    </row>
    <row r="383" spans="1:8" ht="51" customHeight="1" x14ac:dyDescent="0.3">
      <c r="A383" s="53" t="s">
        <v>374</v>
      </c>
      <c r="B383" s="22" t="s">
        <v>272</v>
      </c>
      <c r="C383" s="133">
        <f>6019*1.04*1.05*1.05</f>
        <v>6901.385400000001</v>
      </c>
      <c r="D383" s="133"/>
      <c r="E383" s="176"/>
      <c r="F383" s="176"/>
      <c r="G383" s="135"/>
      <c r="H383" s="133">
        <f t="shared" si="64"/>
        <v>6901.385400000001</v>
      </c>
    </row>
    <row r="384" spans="1:8" ht="51" customHeight="1" x14ac:dyDescent="0.3">
      <c r="A384" s="53" t="s">
        <v>375</v>
      </c>
      <c r="B384" s="22" t="s">
        <v>272</v>
      </c>
      <c r="C384" s="133">
        <f>6338*1.04*1.05*1.05</f>
        <v>7267.1508000000003</v>
      </c>
      <c r="D384" s="133"/>
      <c r="E384" s="176"/>
      <c r="F384" s="176"/>
      <c r="G384" s="135"/>
      <c r="H384" s="133">
        <f t="shared" si="64"/>
        <v>7267.1508000000003</v>
      </c>
    </row>
    <row r="385" spans="1:8" ht="51" customHeight="1" x14ac:dyDescent="0.3">
      <c r="A385" s="53" t="s">
        <v>376</v>
      </c>
      <c r="B385" s="22" t="s">
        <v>272</v>
      </c>
      <c r="C385" s="133">
        <f>2891*1.04*1.05*1.05</f>
        <v>3314.8206000000009</v>
      </c>
      <c r="D385" s="133"/>
      <c r="E385" s="176">
        <v>90</v>
      </c>
      <c r="F385" s="176"/>
      <c r="G385" s="135"/>
      <c r="H385" s="133">
        <f t="shared" si="64"/>
        <v>3404.8206000000009</v>
      </c>
    </row>
    <row r="386" spans="1:8" ht="51" customHeight="1" x14ac:dyDescent="0.3">
      <c r="A386" s="53" t="s">
        <v>377</v>
      </c>
      <c r="B386" s="22" t="s">
        <v>272</v>
      </c>
      <c r="C386" s="133">
        <f>4707*1.04*1.05*1.05</f>
        <v>5397.0461999999998</v>
      </c>
      <c r="D386" s="133"/>
      <c r="E386" s="176">
        <v>90</v>
      </c>
      <c r="F386" s="176"/>
      <c r="G386" s="135"/>
      <c r="H386" s="133">
        <f t="shared" si="64"/>
        <v>5487.0461999999998</v>
      </c>
    </row>
    <row r="387" spans="1:8" s="2" customFormat="1" ht="51" customHeight="1" x14ac:dyDescent="0.3">
      <c r="A387" s="51" t="s">
        <v>28</v>
      </c>
      <c r="B387" s="23" t="s">
        <v>423</v>
      </c>
      <c r="C387" s="133">
        <f>6035*1.04*1.05*1.05</f>
        <v>6919.7310000000016</v>
      </c>
      <c r="D387" s="133"/>
      <c r="E387" s="133"/>
      <c r="F387" s="133"/>
      <c r="G387" s="135"/>
      <c r="H387" s="133">
        <f t="shared" si="64"/>
        <v>6919.7310000000016</v>
      </c>
    </row>
    <row r="388" spans="1:8" ht="51" customHeight="1" x14ac:dyDescent="0.3">
      <c r="A388" s="53" t="s">
        <v>424</v>
      </c>
      <c r="B388" s="23" t="s">
        <v>423</v>
      </c>
      <c r="C388" s="133">
        <f>4985.28/2*1.05*1.05</f>
        <v>2748.1356000000001</v>
      </c>
      <c r="D388" s="133"/>
      <c r="E388" s="133"/>
      <c r="F388" s="133"/>
      <c r="G388" s="135"/>
      <c r="H388" s="133">
        <f t="shared" si="64"/>
        <v>2748.1356000000001</v>
      </c>
    </row>
    <row r="389" spans="1:8" ht="51" customHeight="1" x14ac:dyDescent="0.3">
      <c r="A389" s="53" t="s">
        <v>437</v>
      </c>
      <c r="B389" s="23" t="s">
        <v>423</v>
      </c>
      <c r="C389" s="133">
        <f>6173.44/2*1.05*1.05</f>
        <v>3403.1088</v>
      </c>
      <c r="D389" s="133"/>
      <c r="E389" s="133"/>
      <c r="F389" s="133"/>
      <c r="G389" s="135"/>
      <c r="H389" s="133">
        <f t="shared" si="64"/>
        <v>3403.1088</v>
      </c>
    </row>
    <row r="390" spans="1:8" ht="51" customHeight="1" x14ac:dyDescent="0.3">
      <c r="A390" s="82" t="s">
        <v>134</v>
      </c>
      <c r="B390" s="22" t="s">
        <v>272</v>
      </c>
      <c r="C390" s="133">
        <f>4432*1.05*1.05*1.05</f>
        <v>5130.594000000001</v>
      </c>
      <c r="D390" s="134"/>
      <c r="E390" s="134">
        <v>90</v>
      </c>
      <c r="F390" s="134"/>
      <c r="G390" s="135"/>
      <c r="H390" s="133">
        <f t="shared" si="64"/>
        <v>5220.594000000001</v>
      </c>
    </row>
    <row r="391" spans="1:8" ht="40.5" customHeight="1" x14ac:dyDescent="0.3">
      <c r="A391" s="87" t="s">
        <v>100</v>
      </c>
      <c r="B391" s="22" t="s">
        <v>272</v>
      </c>
      <c r="C391" s="133">
        <f>4635.75*1.05*1.05*0.6</f>
        <v>3066.5486249999999</v>
      </c>
      <c r="D391" s="133"/>
      <c r="E391" s="133">
        <v>90</v>
      </c>
      <c r="F391" s="146"/>
      <c r="G391" s="135"/>
      <c r="H391" s="133">
        <f t="shared" si="64"/>
        <v>3156.5486249999999</v>
      </c>
    </row>
    <row r="392" spans="1:8" ht="51" customHeight="1" thickBot="1" x14ac:dyDescent="0.35">
      <c r="A392" s="53" t="s">
        <v>378</v>
      </c>
      <c r="B392" s="22" t="s">
        <v>272</v>
      </c>
      <c r="C392" s="133">
        <f>3018*1.04*1.05*1.05</f>
        <v>3460.4388000000004</v>
      </c>
      <c r="D392" s="133"/>
      <c r="E392" s="176">
        <v>90</v>
      </c>
      <c r="F392" s="176"/>
      <c r="G392" s="135"/>
      <c r="H392" s="133">
        <f t="shared" si="64"/>
        <v>3550.4388000000004</v>
      </c>
    </row>
    <row r="393" spans="1:8" ht="25.5" customHeight="1" thickTop="1" thickBot="1" x14ac:dyDescent="0.35">
      <c r="A393" s="53"/>
      <c r="B393" s="37" t="s">
        <v>6</v>
      </c>
      <c r="C393" s="142">
        <f>SUM(C352:C392)</f>
        <v>200692.67242500006</v>
      </c>
      <c r="D393" s="142">
        <f t="shared" ref="D393:G393" si="65">SUM(D352:D392)</f>
        <v>0</v>
      </c>
      <c r="E393" s="142">
        <f>SUM(E352:E392)</f>
        <v>3344</v>
      </c>
      <c r="F393" s="142">
        <f t="shared" si="65"/>
        <v>0</v>
      </c>
      <c r="G393" s="142">
        <f t="shared" si="65"/>
        <v>0</v>
      </c>
      <c r="H393" s="142">
        <f>SUM(H352:H392)</f>
        <v>204036.67242500008</v>
      </c>
    </row>
    <row r="394" spans="1:8" ht="25.5" customHeight="1" thickBot="1" x14ac:dyDescent="0.35">
      <c r="A394" s="53"/>
      <c r="B394" s="136" t="s">
        <v>215</v>
      </c>
      <c r="C394" s="137">
        <f>C393-[16]MADRE!$H$489</f>
        <v>0</v>
      </c>
      <c r="D394" s="137">
        <f>D393-[7]MADRE!$I$502</f>
        <v>0</v>
      </c>
      <c r="E394" s="137">
        <f>E393-[16]MADRE!$J$489</f>
        <v>0</v>
      </c>
      <c r="F394" s="137">
        <f>F393-[2]MADRE!K$502</f>
        <v>0</v>
      </c>
      <c r="G394" s="137">
        <f>G393-[3]MADRE!$L$489</f>
        <v>0</v>
      </c>
      <c r="H394" s="137">
        <f>H393-[3]MADRE!$M$489</f>
        <v>0</v>
      </c>
    </row>
    <row r="395" spans="1:8" ht="15" customHeight="1" x14ac:dyDescent="0.3">
      <c r="A395" s="12" t="s">
        <v>207</v>
      </c>
      <c r="B395" s="15"/>
      <c r="C395" s="15"/>
      <c r="D395" s="15"/>
      <c r="E395" s="15"/>
      <c r="F395" s="15"/>
      <c r="G395" s="337"/>
      <c r="H395" s="15"/>
    </row>
    <row r="396" spans="1:8" ht="54" customHeight="1" x14ac:dyDescent="0.3">
      <c r="A396" s="53" t="s">
        <v>410</v>
      </c>
      <c r="B396" s="10" t="s">
        <v>170</v>
      </c>
      <c r="C396" s="134">
        <f>1625*1.04*1.05*1.05</f>
        <v>1863.2250000000001</v>
      </c>
      <c r="D396" s="134"/>
      <c r="E396" s="134">
        <v>175</v>
      </c>
      <c r="F396" s="134"/>
      <c r="G396" s="135"/>
      <c r="H396" s="133">
        <f>C396+E396+G396</f>
        <v>2038.2250000000001</v>
      </c>
    </row>
    <row r="397" spans="1:8" ht="51" customHeight="1" x14ac:dyDescent="0.3">
      <c r="A397" s="53" t="s">
        <v>171</v>
      </c>
      <c r="B397" s="10" t="s">
        <v>170</v>
      </c>
      <c r="C397" s="134">
        <f>1625*1.04*1.05*1.05</f>
        <v>1863.2250000000001</v>
      </c>
      <c r="D397" s="134"/>
      <c r="E397" s="134">
        <v>175</v>
      </c>
      <c r="F397" s="134"/>
      <c r="G397" s="135"/>
      <c r="H397" s="133">
        <f t="shared" ref="H397:H404" si="66">C397+E397+G397</f>
        <v>2038.2250000000001</v>
      </c>
    </row>
    <row r="398" spans="1:8" ht="51" customHeight="1" x14ac:dyDescent="0.3">
      <c r="A398" s="53" t="s">
        <v>415</v>
      </c>
      <c r="B398" s="10" t="s">
        <v>170</v>
      </c>
      <c r="C398" s="134">
        <f>1625*1.04*1.05*1.05</f>
        <v>1863.2250000000001</v>
      </c>
      <c r="D398" s="134"/>
      <c r="E398" s="134">
        <v>175</v>
      </c>
      <c r="F398" s="134"/>
      <c r="G398" s="135"/>
      <c r="H398" s="133">
        <f t="shared" si="66"/>
        <v>2038.2250000000001</v>
      </c>
    </row>
    <row r="399" spans="1:8" ht="51" customHeight="1" x14ac:dyDescent="0.3">
      <c r="A399" s="53" t="s">
        <v>172</v>
      </c>
      <c r="B399" s="10" t="s">
        <v>170</v>
      </c>
      <c r="C399" s="134">
        <v>1700</v>
      </c>
      <c r="D399" s="134"/>
      <c r="E399" s="134">
        <v>175</v>
      </c>
      <c r="F399" s="135"/>
      <c r="G399" s="135"/>
      <c r="H399" s="133">
        <f t="shared" si="66"/>
        <v>1875</v>
      </c>
    </row>
    <row r="400" spans="1:8" ht="51" customHeight="1" x14ac:dyDescent="0.3">
      <c r="A400" s="53" t="s">
        <v>436</v>
      </c>
      <c r="B400" s="10" t="s">
        <v>170</v>
      </c>
      <c r="C400" s="134">
        <f>3778.88/2*1.05*1.05</f>
        <v>2083.1076000000003</v>
      </c>
      <c r="D400" s="134"/>
      <c r="E400" s="134"/>
      <c r="F400" s="135"/>
      <c r="G400" s="135"/>
      <c r="H400" s="133">
        <f t="shared" si="66"/>
        <v>2083.1076000000003</v>
      </c>
    </row>
    <row r="401" spans="1:8" ht="51" customHeight="1" x14ac:dyDescent="0.3">
      <c r="A401" s="77" t="s">
        <v>386</v>
      </c>
      <c r="B401" s="10" t="s">
        <v>170</v>
      </c>
      <c r="C401" s="133">
        <f>3994.1*1.05</f>
        <v>4193.8050000000003</v>
      </c>
      <c r="D401" s="133"/>
      <c r="E401" s="133"/>
      <c r="F401" s="133"/>
      <c r="G401" s="135"/>
      <c r="H401" s="133">
        <f t="shared" si="66"/>
        <v>4193.8050000000003</v>
      </c>
    </row>
    <row r="402" spans="1:8" ht="51" customHeight="1" x14ac:dyDescent="0.3">
      <c r="A402" s="77" t="s">
        <v>470</v>
      </c>
      <c r="B402" s="10" t="s">
        <v>170</v>
      </c>
      <c r="C402" s="133">
        <f>6048.59/2</f>
        <v>3024.2950000000001</v>
      </c>
      <c r="D402" s="133"/>
      <c r="E402" s="133">
        <v>30</v>
      </c>
      <c r="F402" s="133"/>
      <c r="G402" s="135"/>
      <c r="H402" s="133">
        <f t="shared" si="66"/>
        <v>3054.2950000000001</v>
      </c>
    </row>
    <row r="403" spans="1:8" ht="51" customHeight="1" x14ac:dyDescent="0.3">
      <c r="A403" s="61" t="s">
        <v>59</v>
      </c>
      <c r="B403" s="10" t="s">
        <v>170</v>
      </c>
      <c r="C403" s="133">
        <f>5545*1.05*1.05*1.05*0.6</f>
        <v>3851.4183750000002</v>
      </c>
      <c r="D403" s="133"/>
      <c r="E403" s="147"/>
      <c r="F403" s="148">
        <v>126</v>
      </c>
      <c r="G403" s="135"/>
      <c r="H403" s="133">
        <f>C403+E403+G403+F403</f>
        <v>3977.4183750000002</v>
      </c>
    </row>
    <row r="404" spans="1:8" s="2" customFormat="1" ht="51" customHeight="1" thickBot="1" x14ac:dyDescent="0.35">
      <c r="A404" s="51" t="s">
        <v>379</v>
      </c>
      <c r="B404" s="22" t="s">
        <v>170</v>
      </c>
      <c r="C404" s="133">
        <f>4079*1.04*1.05*1.05</f>
        <v>4676.9814000000006</v>
      </c>
      <c r="D404" s="133"/>
      <c r="E404" s="133">
        <v>90</v>
      </c>
      <c r="F404" s="133"/>
      <c r="G404" s="135"/>
      <c r="H404" s="133">
        <f t="shared" si="66"/>
        <v>4766.9814000000006</v>
      </c>
    </row>
    <row r="405" spans="1:8" ht="25.5" customHeight="1" thickTop="1" thickBot="1" x14ac:dyDescent="0.35">
      <c r="A405" s="96"/>
      <c r="B405" s="37" t="s">
        <v>6</v>
      </c>
      <c r="C405" s="142">
        <f>SUM(C396:C404)</f>
        <v>25119.282375000003</v>
      </c>
      <c r="D405" s="142">
        <f t="shared" ref="D405:G405" si="67">SUM(D396:D404)</f>
        <v>0</v>
      </c>
      <c r="E405" s="142">
        <f t="shared" si="67"/>
        <v>820</v>
      </c>
      <c r="F405" s="142">
        <f t="shared" si="67"/>
        <v>126</v>
      </c>
      <c r="G405" s="142">
        <f t="shared" si="67"/>
        <v>0</v>
      </c>
      <c r="H405" s="142">
        <f>SUM(H396:H404)</f>
        <v>26065.282375000003</v>
      </c>
    </row>
    <row r="406" spans="1:8" ht="25.5" customHeight="1" thickBot="1" x14ac:dyDescent="0.35">
      <c r="B406" s="136" t="s">
        <v>215</v>
      </c>
      <c r="C406" s="137">
        <f>C405-[16]MADRE!$H$500</f>
        <v>0</v>
      </c>
      <c r="D406" s="137">
        <f>D405-[2]MADRE!I$513</f>
        <v>0</v>
      </c>
      <c r="E406" s="137">
        <f>E405-[16]MADRE!$J$500</f>
        <v>0</v>
      </c>
      <c r="F406" s="137">
        <f>F405-[16]MADRE!$K$500</f>
        <v>0</v>
      </c>
      <c r="G406" s="137">
        <f>G405-[3]MADRE!$L$500</f>
        <v>0</v>
      </c>
      <c r="H406" s="137">
        <f>H405-[3]MADRE!$M$500</f>
        <v>0</v>
      </c>
    </row>
    <row r="407" spans="1:8" ht="15" customHeight="1" x14ac:dyDescent="0.3">
      <c r="A407" s="12" t="s">
        <v>206</v>
      </c>
      <c r="B407" s="15"/>
      <c r="C407" s="15"/>
      <c r="D407" s="15"/>
      <c r="E407" s="15"/>
      <c r="F407" s="15"/>
      <c r="G407" s="337"/>
      <c r="H407" s="15"/>
    </row>
    <row r="408" spans="1:8" s="3" customFormat="1" ht="51" customHeight="1" thickBot="1" x14ac:dyDescent="0.25">
      <c r="A408" s="53" t="s">
        <v>174</v>
      </c>
      <c r="B408" s="10" t="s">
        <v>173</v>
      </c>
      <c r="C408" s="133">
        <f>2210*1.04*1.05*1.05</f>
        <v>2533.9860000000003</v>
      </c>
      <c r="D408" s="133"/>
      <c r="E408" s="133">
        <v>165</v>
      </c>
      <c r="F408" s="143"/>
      <c r="G408" s="143"/>
      <c r="H408" s="133">
        <f>C408+E408+G408</f>
        <v>2698.9860000000003</v>
      </c>
    </row>
    <row r="409" spans="1:8" ht="25.5" customHeight="1" thickTop="1" thickBot="1" x14ac:dyDescent="0.35">
      <c r="B409" s="37" t="s">
        <v>6</v>
      </c>
      <c r="C409" s="142">
        <f t="shared" ref="C409:G409" si="68">SUM(C408)</f>
        <v>2533.9860000000003</v>
      </c>
      <c r="D409" s="142">
        <f t="shared" si="68"/>
        <v>0</v>
      </c>
      <c r="E409" s="142">
        <f t="shared" si="68"/>
        <v>165</v>
      </c>
      <c r="F409" s="142">
        <f t="shared" si="68"/>
        <v>0</v>
      </c>
      <c r="G409" s="142">
        <f t="shared" si="68"/>
        <v>0</v>
      </c>
      <c r="H409" s="142">
        <f>SUM(H408)</f>
        <v>2698.9860000000003</v>
      </c>
    </row>
    <row r="410" spans="1:8" ht="25.5" customHeight="1" thickBot="1" x14ac:dyDescent="0.35">
      <c r="B410" s="136" t="s">
        <v>215</v>
      </c>
      <c r="C410" s="137">
        <f>C409-[5]MADRE!$H$506</f>
        <v>0</v>
      </c>
      <c r="D410" s="137">
        <f>D409-[2]MADRE!I$521</f>
        <v>0</v>
      </c>
      <c r="E410" s="137">
        <f>E409-[2]MADRE!J$521</f>
        <v>0</v>
      </c>
      <c r="F410" s="137">
        <f>F409-[2]MADRE!K$521</f>
        <v>0</v>
      </c>
      <c r="G410" s="137">
        <f>G409-[3]MADRE!$L$508</f>
        <v>0</v>
      </c>
      <c r="H410" s="137">
        <f>H409-[3]MADRE!$M$508</f>
        <v>0</v>
      </c>
    </row>
    <row r="411" spans="1:8" ht="15" customHeight="1" thickBot="1" x14ac:dyDescent="0.35">
      <c r="A411" s="12"/>
      <c r="B411" s="15"/>
      <c r="C411" s="15"/>
      <c r="D411" s="15"/>
      <c r="E411" s="15"/>
      <c r="F411" s="15"/>
      <c r="G411" s="337"/>
      <c r="H411" s="15"/>
    </row>
    <row r="412" spans="1:8" ht="25.5" customHeight="1" x14ac:dyDescent="0.3">
      <c r="B412" s="132" t="s">
        <v>214</v>
      </c>
      <c r="C412" s="220">
        <f>C15+C19+C53+C24+C39+C48+C71+C75+C84+C93+C102+C107+C112+C116+C120+C129+C143+C147+C165+C171+C177+C183+C192+C204+C221+C231+C247+C253+C263+C269+C289+C300+C304+C315+C321+C332+C344+C349+C393+C405+C409+C61+C227+C30+C57+C43</f>
        <v>1602135.65316</v>
      </c>
      <c r="D412" s="220">
        <f>D15+D19+D53+D24+D39+D48+D71+D75+D84+D93+D102+D107+D112+D116+D120+D129+D143+D147+D165+D171+D177+D183+D192+D204+D221+D231+D247+D253+D263+D269+D289+D300+D304+D315+D321+D332+D344+D349+D393+D405+D409+D61+D227+D30+D57+D43</f>
        <v>34028.281850000007</v>
      </c>
      <c r="E412" s="220">
        <f>E15+E19+E53+E24+E39+E48+E71+E75+E84+E93+E102+E107+E112+E116+E120+E129+E143+E147+E165+E171+E177+E183+E192+E204+E221+E231+E247+E253+E263+E269+E289+E300+E304+E315+E321+E332+E344+E349+E393+E405+E409+E61+E227+E30+E57</f>
        <v>13925</v>
      </c>
      <c r="F412" s="220">
        <f>F15+F19+F53+F24+F39+F48+F71+F75+F84+F93+F102+F107+F112+F116+F120+F129+F143+F147+F165+F171+F177+F183+F192+F204+F221+F231+F247+F253+F263+F269+F289+F300+F304+F315+F321+F332+F344+F349+F393+F405+F409+F61+F227+F30+F57</f>
        <v>5001</v>
      </c>
      <c r="G412" s="220">
        <f>G15+G19+G53+G24+G39+G48+G71+G75+G84+G93+G102+G107+G112+G116+G120+G129+G143+G147+G165+G171+G177+G183+G192+G204+G221+G231+G247+G253+G263+G269+G289+G300+G304+G315+G321+G332+G344+G349+G393+G405+G409+G61+G227+G30+G57+G43</f>
        <v>0</v>
      </c>
      <c r="H412" s="220">
        <f>H15+H19+H53+H24+H39+H48+H71+H75+H84+H93+H102+H107+H112+H116+H120+H129+H143+H147+H165+H171+H177+H183+H192+H204+H221+H231+H247+H253+H263+H269+H289+H300+H304+H315+H321+H332+H344+H349+H393+H405+H409+H61+H227+H30+H57+H43</f>
        <v>1587033.3713099998</v>
      </c>
    </row>
    <row r="413" spans="1:8" s="8" customFormat="1" ht="92.25" customHeight="1" thickBot="1" x14ac:dyDescent="0.35">
      <c r="A413" s="97"/>
      <c r="B413" s="38"/>
      <c r="C413" s="222"/>
      <c r="D413" s="38"/>
      <c r="E413" s="221" t="s">
        <v>475</v>
      </c>
      <c r="F413" s="38"/>
      <c r="G413" s="14"/>
      <c r="H413" s="38"/>
    </row>
    <row r="414" spans="1:8" ht="55.5" customHeight="1" thickBot="1" x14ac:dyDescent="0.35">
      <c r="A414" s="43"/>
      <c r="B414" s="33"/>
      <c r="C414" s="33"/>
      <c r="D414" s="390"/>
      <c r="E414" s="391"/>
      <c r="F414" s="392"/>
      <c r="G414" s="343"/>
    </row>
    <row r="415" spans="1:8" ht="72" customHeight="1" thickTop="1" x14ac:dyDescent="0.3">
      <c r="A415" s="375" t="s">
        <v>146</v>
      </c>
      <c r="D415" s="393" t="s">
        <v>217</v>
      </c>
      <c r="E415" s="394"/>
      <c r="F415" s="223" t="s">
        <v>449</v>
      </c>
      <c r="G415" s="126"/>
      <c r="H415" s="224"/>
    </row>
    <row r="416" spans="1:8" ht="31.5" customHeight="1" thickBot="1" x14ac:dyDescent="0.35">
      <c r="A416" s="98" t="s">
        <v>142</v>
      </c>
      <c r="B416" s="143"/>
      <c r="C416" s="143"/>
      <c r="D416" s="395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E416" s="396"/>
      <c r="F416" s="225" t="e">
        <f>D418+D420-D416</f>
        <v>#REF!</v>
      </c>
      <c r="G416" s="143"/>
      <c r="H416" s="225"/>
    </row>
    <row r="417" spans="1:8" ht="52.5" customHeight="1" x14ac:dyDescent="0.3">
      <c r="A417" s="98" t="s">
        <v>143</v>
      </c>
      <c r="B417" s="206"/>
      <c r="C417" s="206"/>
      <c r="D417" s="397" t="s">
        <v>405</v>
      </c>
      <c r="E417" s="398"/>
      <c r="F417" s="226" t="s">
        <v>212</v>
      </c>
      <c r="G417" s="126"/>
    </row>
    <row r="418" spans="1:8" ht="36.75" customHeight="1" thickBot="1" x14ac:dyDescent="0.35">
      <c r="A418" s="98" t="s">
        <v>4</v>
      </c>
      <c r="B418" s="206"/>
      <c r="C418" s="206"/>
      <c r="D418" s="395" t="e">
        <f>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E418" s="396"/>
      <c r="F418" s="374" t="e">
        <f>D416-D420-D418</f>
        <v>#REF!</v>
      </c>
      <c r="G418" s="143"/>
    </row>
    <row r="419" spans="1:8" ht="32.25" customHeight="1" x14ac:dyDescent="0.3">
      <c r="A419" s="99" t="s">
        <v>144</v>
      </c>
      <c r="B419" s="206"/>
      <c r="D419" s="397" t="s">
        <v>406</v>
      </c>
      <c r="E419" s="398"/>
      <c r="F419" s="226" t="s">
        <v>212</v>
      </c>
      <c r="G419" s="126"/>
    </row>
    <row r="420" spans="1:8" ht="66.75" customHeight="1" thickBot="1" x14ac:dyDescent="0.35">
      <c r="A420" s="373" t="s">
        <v>247</v>
      </c>
      <c r="B420" s="206"/>
      <c r="C420" s="206" t="e">
        <f>#REF!+#REF!-D420</f>
        <v>#REF!</v>
      </c>
      <c r="D420" s="395" t="e">
        <f>#REF!+#REF!+#REF!+#REF!+#REF!+#REF!+#REF!</f>
        <v>#REF!</v>
      </c>
      <c r="E420" s="396"/>
      <c r="F420" s="286" t="e">
        <f>D416-D418-D420</f>
        <v>#REF!</v>
      </c>
      <c r="G420" s="143"/>
    </row>
    <row r="421" spans="1:8" ht="37.5" customHeight="1" thickTop="1" x14ac:dyDescent="0.3">
      <c r="A421" s="99" t="s">
        <v>145</v>
      </c>
      <c r="B421" s="227" t="s">
        <v>225</v>
      </c>
      <c r="C421" s="228"/>
      <c r="D421" s="229"/>
      <c r="F421" s="230" t="s">
        <v>218</v>
      </c>
      <c r="G421" s="231" t="s">
        <v>175</v>
      </c>
      <c r="H421" s="231" t="s">
        <v>176</v>
      </c>
    </row>
    <row r="422" spans="1:8" ht="39.75" customHeight="1" thickBot="1" x14ac:dyDescent="0.35">
      <c r="A422" s="100" t="s">
        <v>213</v>
      </c>
      <c r="B422" s="232" t="s">
        <v>224</v>
      </c>
      <c r="C422" s="233" t="e">
        <f>#REF!</f>
        <v>#REF!</v>
      </c>
      <c r="D422" s="206"/>
      <c r="F422" s="234" t="s">
        <v>219</v>
      </c>
      <c r="G422" s="235" t="e">
        <f>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H422" s="235" t="e">
        <f>#REF!+#REF!+#REF!+#REF!+#REF!+#REF!+#REF!+#REF!+#REF!+#REF!+#REF!+#REF!+#REF!+#REF!+#REF!+#REF!+#REF!+#REF!+#REF!+#REF!+#REF!+#REF!+#REF!+#REF!+#REF!+#REF!+#REF!+#REF!+#REF!+#REF!+#REF!+#REF!+#REF!+#REF!+#REF!+#REF!+#REF!+#REF!+#REF!</f>
        <v>#REF!</v>
      </c>
    </row>
    <row r="423" spans="1:8" ht="39" customHeight="1" thickTop="1" thickBot="1" x14ac:dyDescent="0.35">
      <c r="A423" s="376"/>
      <c r="B423" s="401"/>
      <c r="C423" s="402"/>
      <c r="D423" s="25" t="s">
        <v>320</v>
      </c>
      <c r="F423" s="236" t="s">
        <v>208</v>
      </c>
      <c r="G423" s="237" t="e">
        <f>#REF!+#REF!+#REF!+#REF!+#REF!+#REF!+#REF!+#REF!+#REF!</f>
        <v>#REF!</v>
      </c>
      <c r="H423" s="237" t="e">
        <f>#REF!+#REF!+#REF!+#REF!+#REF!+#REF!+#REF!+#REF!+#REF!</f>
        <v>#REF!</v>
      </c>
    </row>
    <row r="424" spans="1:8" ht="18" customHeight="1" thickTop="1" x14ac:dyDescent="0.3">
      <c r="A424" s="101"/>
      <c r="B424" s="399" t="s">
        <v>223</v>
      </c>
      <c r="C424" s="400"/>
      <c r="D424" s="229"/>
      <c r="F424" s="238"/>
      <c r="G424" s="229"/>
      <c r="H424" s="239"/>
    </row>
    <row r="425" spans="1:8" ht="18.75" customHeight="1" x14ac:dyDescent="0.3">
      <c r="A425" s="101"/>
      <c r="B425" s="240" t="s">
        <v>221</v>
      </c>
      <c r="C425" s="241" t="s">
        <v>222</v>
      </c>
      <c r="D425" s="229"/>
      <c r="E425" s="289" t="s">
        <v>419</v>
      </c>
      <c r="F425" s="312"/>
      <c r="G425" s="344"/>
      <c r="H425" s="305" t="e">
        <f>#REF!</f>
        <v>#REF!</v>
      </c>
    </row>
    <row r="426" spans="1:8" ht="18.75" customHeight="1" x14ac:dyDescent="0.3">
      <c r="A426" s="102"/>
      <c r="B426" s="243" t="e">
        <f>D420-#REF!</f>
        <v>#REF!</v>
      </c>
      <c r="C426" s="244" t="e">
        <f>#REF!</f>
        <v>#REF!</v>
      </c>
      <c r="D426" s="229"/>
      <c r="E426" s="281" t="s">
        <v>419</v>
      </c>
      <c r="F426" s="282"/>
      <c r="H426" s="308" t="e">
        <f>#REF!</f>
        <v>#REF!</v>
      </c>
    </row>
    <row r="427" spans="1:8" ht="18.75" customHeight="1" thickBot="1" x14ac:dyDescent="0.35">
      <c r="A427" s="322"/>
      <c r="B427" s="246" t="s">
        <v>235</v>
      </c>
      <c r="C427" s="245" t="e">
        <f>B426+C426-D420</f>
        <v>#REF!</v>
      </c>
      <c r="D427" s="229"/>
      <c r="E427" s="283" t="s">
        <v>420</v>
      </c>
      <c r="F427" s="284"/>
      <c r="H427" s="309"/>
    </row>
    <row r="428" spans="1:8" ht="18.75" customHeight="1" thickTop="1" x14ac:dyDescent="0.3">
      <c r="A428" s="103"/>
      <c r="B428" s="126"/>
      <c r="C428" s="126"/>
      <c r="D428" s="229"/>
      <c r="E428" s="247" t="s">
        <v>266</v>
      </c>
      <c r="F428" s="248"/>
      <c r="G428" s="345"/>
      <c r="H428" s="242"/>
    </row>
    <row r="429" spans="1:8" ht="28.5" customHeight="1" x14ac:dyDescent="0.3">
      <c r="A429" s="44"/>
      <c r="B429" s="249" t="s">
        <v>237</v>
      </c>
      <c r="C429" s="249" t="s">
        <v>247</v>
      </c>
      <c r="D429" s="249" t="s">
        <v>5</v>
      </c>
      <c r="E429" s="249" t="s">
        <v>175</v>
      </c>
      <c r="F429" s="249" t="s">
        <v>176</v>
      </c>
      <c r="G429" s="249" t="s">
        <v>177</v>
      </c>
      <c r="H429" s="249" t="s">
        <v>178</v>
      </c>
    </row>
    <row r="430" spans="1:8" ht="18.75" customHeight="1" x14ac:dyDescent="0.3">
      <c r="A430" s="45" t="s">
        <v>227</v>
      </c>
      <c r="B430" s="250">
        <f>F15+F19+F24+F30+F39+F48+F53+F57+F61+F71+F75+F84+F93+F102+F107+F112+F116+F129+F143+F147+F171+F177+F227+F231+F247+F253+F263+F269+F289+F300+F304+F321+F332+F344+F349+F409</f>
        <v>126</v>
      </c>
      <c r="C430" s="250">
        <f>G15+G19+G24+G30+G39+G48+G53+G57+G61+G71+G75+G84+G93+G102+G107+G112+G116+G129+G143+G147+G171+G177+G227+G231+G247+G253+G263+G269+G289+G300+G304+G321+G332+G344+G349+G409+G43</f>
        <v>0</v>
      </c>
      <c r="D430" s="250">
        <f>H15+H19+H24+H30+H39+H48+H53+H57+H61+H71+H75+H84+H93+H102+H107+H112+H116+H129+H143+H147+H171+H177+H227+H231+H247+H253+H263+H269+H289+H300+H304+H321+H332+H344+H349+H409+H43</f>
        <v>1035142.330035</v>
      </c>
      <c r="E430" s="250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430" s="250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G430" s="346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H430" s="250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</row>
    <row r="431" spans="1:8" ht="18.75" customHeight="1" x14ac:dyDescent="0.3">
      <c r="A431" s="104" t="s">
        <v>228</v>
      </c>
      <c r="B431" s="251">
        <f t="shared" ref="B431:D431" si="69">F393</f>
        <v>0</v>
      </c>
      <c r="C431" s="251">
        <f t="shared" si="69"/>
        <v>0</v>
      </c>
      <c r="D431" s="251">
        <f t="shared" si="69"/>
        <v>204036.67242500008</v>
      </c>
      <c r="E431" s="251" t="e">
        <f>#REF!</f>
        <v>#REF!</v>
      </c>
      <c r="F431" s="251" t="e">
        <f>#REF!</f>
        <v>#REF!</v>
      </c>
      <c r="G431" s="347" t="e">
        <f>#REF!</f>
        <v>#REF!</v>
      </c>
      <c r="H431" s="251" t="e">
        <f>#REF!</f>
        <v>#REF!</v>
      </c>
    </row>
    <row r="432" spans="1:8" ht="18.75" customHeight="1" thickBot="1" x14ac:dyDescent="0.35">
      <c r="A432" s="105" t="s">
        <v>229</v>
      </c>
      <c r="B432" s="252" t="e">
        <f>#REF!</f>
        <v>#REF!</v>
      </c>
      <c r="C432" s="252" t="e">
        <f>#REF!</f>
        <v>#REF!</v>
      </c>
      <c r="D432" s="252" t="e">
        <f>#REF!</f>
        <v>#REF!</v>
      </c>
      <c r="E432" s="252" t="e">
        <f>#REF!</f>
        <v>#REF!</v>
      </c>
      <c r="F432" s="252" t="e">
        <f>#REF!</f>
        <v>#REF!</v>
      </c>
      <c r="G432" s="348" t="e">
        <f>#REF!</f>
        <v>#REF!</v>
      </c>
      <c r="H432" s="252" t="e">
        <f>#REF!</f>
        <v>#REF!</v>
      </c>
    </row>
    <row r="433" spans="1:8" ht="27.75" customHeight="1" thickTop="1" x14ac:dyDescent="0.3">
      <c r="A433" s="46"/>
      <c r="B433" s="249" t="s">
        <v>237</v>
      </c>
      <c r="C433" s="249" t="s">
        <v>247</v>
      </c>
      <c r="D433" s="253" t="s">
        <v>5</v>
      </c>
      <c r="E433" s="253" t="s">
        <v>175</v>
      </c>
      <c r="F433" s="253" t="s">
        <v>176</v>
      </c>
      <c r="G433" s="253" t="s">
        <v>177</v>
      </c>
      <c r="H433" s="253" t="s">
        <v>178</v>
      </c>
    </row>
    <row r="434" spans="1:8" ht="18.75" customHeight="1" x14ac:dyDescent="0.3">
      <c r="A434" s="45" t="s">
        <v>208</v>
      </c>
      <c r="B434" s="250">
        <f t="shared" ref="B434:D434" si="70">F120+F165+F183+F192+F204+F221+F315</f>
        <v>4749</v>
      </c>
      <c r="C434" s="250">
        <f t="shared" si="70"/>
        <v>0</v>
      </c>
      <c r="D434" s="250">
        <f t="shared" si="70"/>
        <v>321789.08647500002</v>
      </c>
      <c r="E434" s="250" t="e">
        <f>#REF!+#REF!+#REF!+#REF!+#REF!+#REF!+#REF!</f>
        <v>#REF!</v>
      </c>
      <c r="F434" s="250" t="e">
        <f>#REF!+#REF!+#REF!+#REF!+#REF!+#REF!+#REF!</f>
        <v>#REF!</v>
      </c>
      <c r="G434" s="346" t="e">
        <f>#REF!+#REF!+#REF!+#REF!+#REF!+#REF!+#REF!</f>
        <v>#REF!</v>
      </c>
      <c r="H434" s="250" t="e">
        <f>#REF!+#REF!+#REF!+#REF!+#REF!+#REF!+#REF!</f>
        <v>#REF!</v>
      </c>
    </row>
    <row r="435" spans="1:8" ht="18.75" customHeight="1" x14ac:dyDescent="0.3">
      <c r="A435" s="106" t="s">
        <v>228</v>
      </c>
      <c r="B435" s="250">
        <f t="shared" ref="B435" si="71">F405</f>
        <v>126</v>
      </c>
      <c r="C435" s="250">
        <f>G405</f>
        <v>0</v>
      </c>
      <c r="D435" s="250">
        <f>H405</f>
        <v>26065.282375000003</v>
      </c>
      <c r="E435" s="250" t="e">
        <f>#REF!</f>
        <v>#REF!</v>
      </c>
      <c r="F435" s="250" t="e">
        <f>#REF!</f>
        <v>#REF!</v>
      </c>
      <c r="G435" s="346" t="e">
        <f>#REF!</f>
        <v>#REF!</v>
      </c>
      <c r="H435" s="250" t="e">
        <f>#REF!</f>
        <v>#REF!</v>
      </c>
    </row>
    <row r="436" spans="1:8" ht="18.75" customHeight="1" thickBot="1" x14ac:dyDescent="0.35">
      <c r="A436" s="107" t="s">
        <v>229</v>
      </c>
      <c r="B436" s="254" t="e">
        <f>#REF!</f>
        <v>#REF!</v>
      </c>
      <c r="C436" s="254" t="e">
        <f>#REF!+#REF!</f>
        <v>#REF!</v>
      </c>
      <c r="D436" s="254" t="e">
        <f>#REF!</f>
        <v>#REF!</v>
      </c>
      <c r="E436" s="254" t="e">
        <f>#REF!</f>
        <v>#REF!</v>
      </c>
      <c r="F436" s="254" t="e">
        <f>#REF!</f>
        <v>#REF!</v>
      </c>
      <c r="G436" s="349" t="e">
        <f>#REF!</f>
        <v>#REF!</v>
      </c>
      <c r="H436" s="306" t="e">
        <f>#REF!</f>
        <v>#REF!</v>
      </c>
    </row>
    <row r="437" spans="1:8" ht="18.75" customHeight="1" thickTop="1" x14ac:dyDescent="0.3">
      <c r="A437" s="101"/>
      <c r="B437" s="239" t="e">
        <f t="shared" ref="B437:D437" si="72">B430+B431+B432+B434+B435+B436</f>
        <v>#REF!</v>
      </c>
      <c r="C437" s="239" t="e">
        <f t="shared" si="72"/>
        <v>#REF!</v>
      </c>
      <c r="D437" s="239" t="e">
        <f t="shared" si="72"/>
        <v>#REF!</v>
      </c>
      <c r="E437" s="239" t="e">
        <f>E430+E431+E432+E434+E435+E436</f>
        <v>#REF!</v>
      </c>
      <c r="F437" s="239" t="e">
        <f>F430+F431+F434+F435+F436+F432</f>
        <v>#REF!</v>
      </c>
      <c r="G437" s="229"/>
      <c r="H437" s="239" t="e">
        <f>H430+H431+H434+H435</f>
        <v>#REF!</v>
      </c>
    </row>
    <row r="438" spans="1:8" ht="18.75" customHeight="1" x14ac:dyDescent="0.3">
      <c r="A438" s="47"/>
      <c r="B438" s="403"/>
      <c r="C438" s="403"/>
      <c r="D438" s="403"/>
      <c r="E438" s="255"/>
      <c r="F438" s="256" t="s">
        <v>253</v>
      </c>
      <c r="G438" s="350"/>
      <c r="H438" s="256"/>
    </row>
    <row r="439" spans="1:8" ht="30" customHeight="1" x14ac:dyDescent="0.3">
      <c r="A439" s="377" t="s">
        <v>252</v>
      </c>
      <c r="B439" s="258"/>
      <c r="C439" s="388" t="s">
        <v>248</v>
      </c>
      <c r="D439" s="389"/>
      <c r="E439" s="206"/>
      <c r="F439" s="259" t="s">
        <v>254</v>
      </c>
      <c r="G439" s="351"/>
      <c r="H439" s="257"/>
    </row>
    <row r="440" spans="1:8" ht="12.75" customHeight="1" x14ac:dyDescent="0.3">
      <c r="A440" s="49" t="s">
        <v>249</v>
      </c>
      <c r="B440" s="258"/>
      <c r="C440" s="260" t="s">
        <v>251</v>
      </c>
      <c r="D440" s="261" t="s">
        <v>250</v>
      </c>
      <c r="E440" s="206"/>
      <c r="F440" s="262" t="s">
        <v>251</v>
      </c>
      <c r="G440" s="352" t="s">
        <v>250</v>
      </c>
      <c r="H440" s="257"/>
    </row>
    <row r="441" spans="1:8" ht="12.75" customHeight="1" x14ac:dyDescent="0.3">
      <c r="A441" s="48" t="e">
        <f>#REF!+#REF!+B431+C431</f>
        <v>#REF!</v>
      </c>
      <c r="B441" s="258"/>
      <c r="C441" s="263" t="e">
        <f>E430+F430+#REF!+G430</f>
        <v>#REF!</v>
      </c>
      <c r="D441" s="264" t="e">
        <f>#REF!</f>
        <v>#REF!</v>
      </c>
      <c r="F441" s="265" t="e">
        <f>#REF!+#REF!+B434+C434</f>
        <v>#REF!</v>
      </c>
      <c r="G441" s="348" t="e">
        <f>#REF!+E434+F434+G434+#REF!</f>
        <v>#REF!</v>
      </c>
      <c r="H441" s="257"/>
    </row>
    <row r="442" spans="1:8" ht="12.75" customHeight="1" x14ac:dyDescent="0.3">
      <c r="A442" s="48"/>
      <c r="B442" s="258"/>
      <c r="C442" s="266" t="e">
        <f>E431+F431+#REF!</f>
        <v>#REF!</v>
      </c>
      <c r="D442" s="267"/>
      <c r="F442" s="268"/>
      <c r="G442" s="353" t="e">
        <f>B426</f>
        <v>#REF!</v>
      </c>
      <c r="H442" s="257"/>
    </row>
    <row r="443" spans="1:8" ht="12.75" customHeight="1" x14ac:dyDescent="0.3">
      <c r="A443" s="48"/>
      <c r="B443" s="258"/>
      <c r="C443" s="266" t="e">
        <f>#REF!+#REF!+B432+C432</f>
        <v>#REF!</v>
      </c>
      <c r="D443" s="267" t="e">
        <f>#REF!</f>
        <v>#REF!</v>
      </c>
      <c r="F443" s="268"/>
      <c r="G443" s="353"/>
      <c r="H443" s="257"/>
    </row>
    <row r="444" spans="1:8" ht="12.75" customHeight="1" x14ac:dyDescent="0.3">
      <c r="A444" s="48"/>
      <c r="B444" s="258"/>
      <c r="C444" s="266"/>
      <c r="D444" s="267"/>
      <c r="F444" s="268"/>
      <c r="G444" s="353"/>
      <c r="H444" s="257"/>
    </row>
    <row r="445" spans="1:8" ht="12.75" customHeight="1" x14ac:dyDescent="0.3">
      <c r="A445" s="49" t="e">
        <f>SUM(A441:A444)</f>
        <v>#REF!</v>
      </c>
      <c r="B445" s="258"/>
      <c r="C445" s="266"/>
      <c r="D445" s="267"/>
      <c r="F445" s="268"/>
      <c r="G445" s="353"/>
      <c r="H445" s="257"/>
    </row>
    <row r="446" spans="1:8" ht="12.75" customHeight="1" x14ac:dyDescent="0.3">
      <c r="A446" s="50"/>
      <c r="B446" s="258"/>
      <c r="C446" s="266"/>
      <c r="D446" s="267"/>
      <c r="F446" s="268"/>
      <c r="G446" s="353"/>
      <c r="H446" s="257"/>
    </row>
    <row r="447" spans="1:8" ht="12.75" customHeight="1" x14ac:dyDescent="0.3">
      <c r="A447" s="50"/>
      <c r="B447" s="258"/>
      <c r="C447" s="266"/>
      <c r="D447" s="267"/>
      <c r="F447" s="268"/>
      <c r="G447" s="353"/>
      <c r="H447" s="257"/>
    </row>
    <row r="448" spans="1:8" ht="12.75" customHeight="1" x14ac:dyDescent="0.3">
      <c r="A448" s="50"/>
      <c r="B448" s="258"/>
      <c r="C448" s="269" t="e">
        <f>SUM(C441:C447)</f>
        <v>#REF!</v>
      </c>
      <c r="D448" s="270" t="e">
        <f>SUM(D441:D445)</f>
        <v>#REF!</v>
      </c>
      <c r="F448" s="271" t="e">
        <f>SUM(F441:F447)</f>
        <v>#REF!</v>
      </c>
      <c r="G448" s="346" t="e">
        <f>SUM(G441:G445)</f>
        <v>#REF!</v>
      </c>
      <c r="H448" s="257"/>
    </row>
    <row r="449" spans="1:8" ht="12.75" customHeight="1" x14ac:dyDescent="0.3">
      <c r="A449" s="108"/>
      <c r="B449" s="272"/>
      <c r="C449" s="272"/>
      <c r="D449" s="272"/>
      <c r="F449" s="257"/>
      <c r="H449" s="257"/>
    </row>
    <row r="451" spans="1:8" ht="18.75" customHeight="1" x14ac:dyDescent="0.3">
      <c r="C451" s="206" t="e">
        <f>D448-C448</f>
        <v>#REF!</v>
      </c>
      <c r="D451" s="206"/>
    </row>
    <row r="452" spans="1:8" ht="12.75" customHeight="1" x14ac:dyDescent="0.3">
      <c r="F452" s="206" t="e">
        <f>F448-G448</f>
        <v>#REF!</v>
      </c>
      <c r="H452" s="25" t="s">
        <v>312</v>
      </c>
    </row>
    <row r="454" spans="1:8" ht="12.75" customHeight="1" x14ac:dyDescent="0.3">
      <c r="H454" s="25" t="s">
        <v>320</v>
      </c>
    </row>
    <row r="457" spans="1:8" ht="12.75" customHeight="1" x14ac:dyDescent="0.3">
      <c r="B457" s="381"/>
      <c r="C457" s="381"/>
      <c r="D457" s="381"/>
      <c r="E457" s="381"/>
      <c r="F457" s="381"/>
      <c r="G457" s="381"/>
      <c r="H457" s="381"/>
    </row>
    <row r="458" spans="1:8" ht="12.75" customHeight="1" x14ac:dyDescent="0.3">
      <c r="B458" s="381"/>
      <c r="C458" s="381"/>
      <c r="E458" s="381" t="s">
        <v>259</v>
      </c>
      <c r="F458" s="381"/>
      <c r="G458" s="381"/>
      <c r="H458" s="381"/>
    </row>
    <row r="459" spans="1:8" ht="12.75" customHeight="1" x14ac:dyDescent="0.3">
      <c r="B459" s="386" t="s">
        <v>261</v>
      </c>
      <c r="C459" s="386" t="s">
        <v>262</v>
      </c>
      <c r="E459" s="382" t="s">
        <v>260</v>
      </c>
      <c r="F459" s="383"/>
      <c r="G459" s="386" t="s">
        <v>261</v>
      </c>
      <c r="H459" s="386" t="s">
        <v>262</v>
      </c>
    </row>
    <row r="460" spans="1:8" ht="12.75" customHeight="1" x14ac:dyDescent="0.3">
      <c r="B460" s="387"/>
      <c r="C460" s="387"/>
      <c r="E460" s="384"/>
      <c r="F460" s="385"/>
      <c r="G460" s="387"/>
      <c r="H460" s="387"/>
    </row>
    <row r="461" spans="1:8" ht="12.75" customHeight="1" x14ac:dyDescent="0.3">
      <c r="B461" s="273" t="e">
        <f>#REF!</f>
        <v>#REF!</v>
      </c>
      <c r="C461" s="273" t="e">
        <f>#REF!</f>
        <v>#REF!</v>
      </c>
      <c r="E461" s="378" t="e">
        <f>#REF!</f>
        <v>#REF!</v>
      </c>
      <c r="F461" s="378"/>
      <c r="G461" s="354" t="e">
        <f>#REF!</f>
        <v>#REF!</v>
      </c>
      <c r="H461" s="273" t="e">
        <f>#REF!</f>
        <v>#REF!</v>
      </c>
    </row>
    <row r="462" spans="1:8" ht="12.75" customHeight="1" x14ac:dyDescent="0.3">
      <c r="B462" s="273" t="e">
        <f>#REF!</f>
        <v>#REF!</v>
      </c>
      <c r="C462" s="273" t="e">
        <f>#REF!</f>
        <v>#REF!</v>
      </c>
      <c r="E462" s="378" t="e">
        <f>#REF!</f>
        <v>#REF!</v>
      </c>
      <c r="F462" s="378"/>
      <c r="G462" s="354" t="e">
        <f>#REF!</f>
        <v>#REF!</v>
      </c>
      <c r="H462" s="273" t="e">
        <f>#REF!</f>
        <v>#REF!</v>
      </c>
    </row>
    <row r="463" spans="1:8" ht="12.75" customHeight="1" x14ac:dyDescent="0.3">
      <c r="B463" s="273" t="e">
        <f>#REF!</f>
        <v>#REF!</v>
      </c>
      <c r="C463" s="273" t="e">
        <f>#REF!</f>
        <v>#REF!</v>
      </c>
      <c r="E463" s="378" t="e">
        <f>#REF!</f>
        <v>#REF!</v>
      </c>
      <c r="F463" s="378"/>
      <c r="G463" s="354" t="e">
        <f>#REF!</f>
        <v>#REF!</v>
      </c>
      <c r="H463" s="273" t="e">
        <f>#REF!</f>
        <v>#REF!</v>
      </c>
    </row>
    <row r="464" spans="1:8" ht="12.75" customHeight="1" x14ac:dyDescent="0.3">
      <c r="B464" s="273" t="e">
        <f>SUM(B461:B463)</f>
        <v>#REF!</v>
      </c>
      <c r="C464" s="273" t="e">
        <f>SUM(C461:C463)</f>
        <v>#REF!</v>
      </c>
      <c r="E464" s="378" t="s">
        <v>263</v>
      </c>
      <c r="F464" s="378"/>
      <c r="G464" s="354" t="e">
        <f>SUM(G461:G463)</f>
        <v>#REF!</v>
      </c>
      <c r="H464" s="273" t="e">
        <f>SUM(H461:H463)</f>
        <v>#REF!</v>
      </c>
    </row>
    <row r="467" spans="2:6" ht="12.75" customHeight="1" x14ac:dyDescent="0.3">
      <c r="B467" s="378" t="s">
        <v>264</v>
      </c>
      <c r="C467" s="378"/>
      <c r="D467" s="378"/>
      <c r="E467" s="379" t="e">
        <f>B464+G464</f>
        <v>#REF!</v>
      </c>
      <c r="F467" s="380"/>
    </row>
    <row r="468" spans="2:6" ht="12.75" customHeight="1" x14ac:dyDescent="0.3">
      <c r="B468" s="378" t="s">
        <v>265</v>
      </c>
      <c r="C468" s="378"/>
      <c r="D468" s="378"/>
      <c r="E468" s="379" t="e">
        <f>C464+H464</f>
        <v>#REF!</v>
      </c>
      <c r="F468" s="380"/>
    </row>
  </sheetData>
  <autoFilter ref="A6:GV185"/>
  <mergeCells count="27">
    <mergeCell ref="D414:F414"/>
    <mergeCell ref="D415:E415"/>
    <mergeCell ref="D416:E416"/>
    <mergeCell ref="D417:E417"/>
    <mergeCell ref="D418:E418"/>
    <mergeCell ref="D419:E419"/>
    <mergeCell ref="D420:E420"/>
    <mergeCell ref="B424:C424"/>
    <mergeCell ref="B423:C423"/>
    <mergeCell ref="C439:D439"/>
    <mergeCell ref="B438:D438"/>
    <mergeCell ref="B457:H457"/>
    <mergeCell ref="B458:C458"/>
    <mergeCell ref="E458:H458"/>
    <mergeCell ref="B459:B460"/>
    <mergeCell ref="C459:C460"/>
    <mergeCell ref="E459:F460"/>
    <mergeCell ref="G459:G460"/>
    <mergeCell ref="H459:H460"/>
    <mergeCell ref="E461:F461"/>
    <mergeCell ref="E462:F462"/>
    <mergeCell ref="E463:F463"/>
    <mergeCell ref="E464:F464"/>
    <mergeCell ref="B467:D467"/>
    <mergeCell ref="E467:F467"/>
    <mergeCell ref="B468:D468"/>
    <mergeCell ref="E468:F468"/>
  </mergeCells>
  <phoneticPr fontId="20" type="noConversion"/>
  <conditionalFormatting sqref="C20:H20">
    <cfRule type="cellIs" dxfId="446" priority="1254" operator="lessThan">
      <formula>0</formula>
    </cfRule>
    <cfRule type="cellIs" dxfId="445" priority="1293" operator="greaterThan">
      <formula>0</formula>
    </cfRule>
    <cfRule type="cellIs" dxfId="444" priority="1294" operator="equal">
      <formula>0</formula>
    </cfRule>
  </conditionalFormatting>
  <conditionalFormatting sqref="C54:H54">
    <cfRule type="cellIs" dxfId="443" priority="1255" operator="lessThan">
      <formula>0</formula>
    </cfRule>
    <cfRule type="cellIs" dxfId="442" priority="1291" operator="greaterThan">
      <formula>0</formula>
    </cfRule>
    <cfRule type="cellIs" dxfId="441" priority="1292" operator="equal">
      <formula>0</formula>
    </cfRule>
  </conditionalFormatting>
  <conditionalFormatting sqref="C25:H25">
    <cfRule type="cellIs" dxfId="440" priority="1256" operator="lessThan">
      <formula>0</formula>
    </cfRule>
    <cfRule type="cellIs" dxfId="439" priority="1289" operator="greaterThan">
      <formula>0</formula>
    </cfRule>
    <cfRule type="cellIs" dxfId="438" priority="1290" operator="equal">
      <formula>0</formula>
    </cfRule>
  </conditionalFormatting>
  <conditionalFormatting sqref="C40:H40">
    <cfRule type="cellIs" dxfId="437" priority="1258" operator="lessThan">
      <formula>0</formula>
    </cfRule>
    <cfRule type="cellIs" dxfId="436" priority="1284" operator="greaterThan">
      <formula>0</formula>
    </cfRule>
    <cfRule type="cellIs" dxfId="435" priority="1285" operator="equal">
      <formula>0</formula>
    </cfRule>
  </conditionalFormatting>
  <conditionalFormatting sqref="C49:H49">
    <cfRule type="cellIs" dxfId="434" priority="1259" operator="lessThan">
      <formula>0</formula>
    </cfRule>
    <cfRule type="cellIs" dxfId="433" priority="1280" operator="greaterThan">
      <formula>0</formula>
    </cfRule>
    <cfRule type="cellIs" dxfId="432" priority="1281" operator="equal">
      <formula>0</formula>
    </cfRule>
  </conditionalFormatting>
  <conditionalFormatting sqref="C72:H72">
    <cfRule type="cellIs" dxfId="431" priority="1260" operator="lessThan">
      <formula>0</formula>
    </cfRule>
    <cfRule type="cellIs" dxfId="430" priority="1276" operator="greaterThan">
      <formula>0</formula>
    </cfRule>
    <cfRule type="cellIs" dxfId="429" priority="1277" operator="equal">
      <formula>0</formula>
    </cfRule>
  </conditionalFormatting>
  <conditionalFormatting sqref="C76:H76">
    <cfRule type="cellIs" dxfId="428" priority="1261" operator="lessThan">
      <formula>0</formula>
    </cfRule>
    <cfRule type="cellIs" dxfId="427" priority="1272" operator="greaterThan">
      <formula>0</formula>
    </cfRule>
    <cfRule type="cellIs" dxfId="426" priority="1273" operator="equal">
      <formula>0</formula>
    </cfRule>
  </conditionalFormatting>
  <conditionalFormatting sqref="C85:H85">
    <cfRule type="cellIs" dxfId="425" priority="1262" operator="lessThan">
      <formula>0</formula>
    </cfRule>
    <cfRule type="cellIs" dxfId="424" priority="1268" operator="greaterThan">
      <formula>0</formula>
    </cfRule>
    <cfRule type="cellIs" dxfId="423" priority="1269" operator="equal">
      <formula>0</formula>
    </cfRule>
  </conditionalFormatting>
  <conditionalFormatting sqref="C94:H94">
    <cfRule type="cellIs" dxfId="422" priority="1263" operator="lessThan">
      <formula>0</formula>
    </cfRule>
    <cfRule type="cellIs" dxfId="421" priority="1264" operator="greaterThan">
      <formula>0</formula>
    </cfRule>
    <cfRule type="cellIs" dxfId="420" priority="1265" operator="equal">
      <formula>0</formula>
    </cfRule>
  </conditionalFormatting>
  <conditionalFormatting sqref="C103:H103">
    <cfRule type="cellIs" dxfId="419" priority="1247" operator="lessThan">
      <formula>0</formula>
    </cfRule>
    <cfRule type="cellIs" dxfId="418" priority="1248" operator="greaterThan">
      <formula>0</formula>
    </cfRule>
    <cfRule type="cellIs" dxfId="417" priority="1249" operator="equal">
      <formula>0</formula>
    </cfRule>
  </conditionalFormatting>
  <conditionalFormatting sqref="C113:H113">
    <cfRule type="cellIs" dxfId="416" priority="1235" operator="lessThan">
      <formula>0</formula>
    </cfRule>
    <cfRule type="cellIs" dxfId="415" priority="1236" operator="greaterThan">
      <formula>0</formula>
    </cfRule>
    <cfRule type="cellIs" dxfId="414" priority="1237" operator="equal">
      <formula>0</formula>
    </cfRule>
    <cfRule type="cellIs" dxfId="413" priority="1238" operator="lessThan">
      <formula>0</formula>
    </cfRule>
    <cfRule type="cellIs" dxfId="412" priority="1239" operator="greaterThan">
      <formula>0</formula>
    </cfRule>
    <cfRule type="cellIs" dxfId="411" priority="1240" operator="equal">
      <formula>0</formula>
    </cfRule>
  </conditionalFormatting>
  <conditionalFormatting sqref="C121:H121">
    <cfRule type="cellIs" dxfId="410" priority="1220" operator="lessThan">
      <formula>0</formula>
    </cfRule>
    <cfRule type="cellIs" dxfId="409" priority="1221" operator="greaterThan">
      <formula>0</formula>
    </cfRule>
    <cfRule type="cellIs" dxfId="408" priority="1222" operator="equal">
      <formula>0</formula>
    </cfRule>
  </conditionalFormatting>
  <conditionalFormatting sqref="C232:H232">
    <cfRule type="cellIs" dxfId="407" priority="1214" operator="lessThan">
      <formula>0</formula>
    </cfRule>
    <cfRule type="cellIs" dxfId="406" priority="1215" operator="greaterThan">
      <formula>0</formula>
    </cfRule>
    <cfRule type="cellIs" dxfId="405" priority="1216" operator="equal">
      <formula>0</formula>
    </cfRule>
  </conditionalFormatting>
  <conditionalFormatting sqref="C130:H130">
    <cfRule type="cellIs" dxfId="404" priority="1208" operator="lessThan">
      <formula>0</formula>
    </cfRule>
    <cfRule type="cellIs" dxfId="403" priority="1209" operator="greaterThan">
      <formula>0</formula>
    </cfRule>
    <cfRule type="cellIs" dxfId="402" priority="1210" operator="equal">
      <formula>0</formula>
    </cfRule>
  </conditionalFormatting>
  <conditionalFormatting sqref="C144:H144">
    <cfRule type="cellIs" dxfId="401" priority="1202" operator="lessThan">
      <formula>0</formula>
    </cfRule>
    <cfRule type="cellIs" dxfId="400" priority="1203" operator="greaterThan">
      <formula>0</formula>
    </cfRule>
    <cfRule type="cellIs" dxfId="399" priority="1204" operator="equal">
      <formula>0</formula>
    </cfRule>
  </conditionalFormatting>
  <conditionalFormatting sqref="C148:H148">
    <cfRule type="cellIs" dxfId="398" priority="1196" operator="lessThan">
      <formula>0</formula>
    </cfRule>
    <cfRule type="cellIs" dxfId="397" priority="1197" operator="greaterThan">
      <formula>0</formula>
    </cfRule>
    <cfRule type="cellIs" dxfId="396" priority="1198" operator="equal">
      <formula>0</formula>
    </cfRule>
  </conditionalFormatting>
  <conditionalFormatting sqref="C166:H166">
    <cfRule type="cellIs" dxfId="395" priority="1190" operator="lessThan">
      <formula>0</formula>
    </cfRule>
    <cfRule type="cellIs" dxfId="394" priority="1191" operator="greaterThan">
      <formula>0</formula>
    </cfRule>
    <cfRule type="cellIs" dxfId="393" priority="1192" operator="equal">
      <formula>0</formula>
    </cfRule>
  </conditionalFormatting>
  <conditionalFormatting sqref="C172:H172">
    <cfRule type="cellIs" dxfId="392" priority="1183" operator="lessThan">
      <formula>0</formula>
    </cfRule>
    <cfRule type="cellIs" dxfId="391" priority="1184" operator="greaterThan">
      <formula>0</formula>
    </cfRule>
    <cfRule type="cellIs" dxfId="390" priority="1185" operator="equal">
      <formula>0</formula>
    </cfRule>
  </conditionalFormatting>
  <conditionalFormatting sqref="C178:H178">
    <cfRule type="cellIs" dxfId="389" priority="1177" operator="lessThan">
      <formula>0</formula>
    </cfRule>
    <cfRule type="cellIs" dxfId="388" priority="1178" operator="greaterThan">
      <formula>0</formula>
    </cfRule>
    <cfRule type="cellIs" dxfId="387" priority="1179" operator="equal">
      <formula>0</formula>
    </cfRule>
  </conditionalFormatting>
  <conditionalFormatting sqref="C184:H184">
    <cfRule type="cellIs" dxfId="386" priority="1171" operator="lessThan">
      <formula>0</formula>
    </cfRule>
    <cfRule type="cellIs" dxfId="385" priority="1172" operator="greaterThan">
      <formula>0</formula>
    </cfRule>
    <cfRule type="cellIs" dxfId="384" priority="1173" operator="equal">
      <formula>0</formula>
    </cfRule>
  </conditionalFormatting>
  <conditionalFormatting sqref="C193:H193">
    <cfRule type="cellIs" dxfId="383" priority="1165" operator="lessThan">
      <formula>0</formula>
    </cfRule>
    <cfRule type="cellIs" dxfId="382" priority="1166" operator="greaterThan">
      <formula>0</formula>
    </cfRule>
    <cfRule type="cellIs" dxfId="381" priority="1167" operator="equal">
      <formula>0</formula>
    </cfRule>
  </conditionalFormatting>
  <conditionalFormatting sqref="C205:H205">
    <cfRule type="cellIs" dxfId="380" priority="1159" operator="lessThan">
      <formula>0</formula>
    </cfRule>
    <cfRule type="cellIs" dxfId="379" priority="1160" operator="greaterThan">
      <formula>0</formula>
    </cfRule>
    <cfRule type="cellIs" dxfId="378" priority="1161" operator="equal">
      <formula>0</formula>
    </cfRule>
  </conditionalFormatting>
  <conditionalFormatting sqref="C222:H222">
    <cfRule type="cellIs" dxfId="377" priority="1153" operator="lessThan">
      <formula>0</formula>
    </cfRule>
    <cfRule type="cellIs" dxfId="376" priority="1154" operator="greaterThan">
      <formula>0</formula>
    </cfRule>
    <cfRule type="cellIs" dxfId="375" priority="1155" operator="equal">
      <formula>0</formula>
    </cfRule>
    <cfRule type="cellIs" dxfId="374" priority="1156" operator="lessThan">
      <formula>0</formula>
    </cfRule>
    <cfRule type="cellIs" dxfId="373" priority="1157" operator="greaterThan">
      <formula>0</formula>
    </cfRule>
    <cfRule type="cellIs" dxfId="372" priority="1158" operator="equal">
      <formula>0</formula>
    </cfRule>
  </conditionalFormatting>
  <conditionalFormatting sqref="C248:H248">
    <cfRule type="cellIs" dxfId="371" priority="1144" operator="lessThan">
      <formula>0</formula>
    </cfRule>
    <cfRule type="cellIs" dxfId="370" priority="1145" operator="greaterThan">
      <formula>0</formula>
    </cfRule>
    <cfRule type="cellIs" dxfId="369" priority="1146" operator="equal">
      <formula>0</formula>
    </cfRule>
  </conditionalFormatting>
  <conditionalFormatting sqref="C254:H254">
    <cfRule type="cellIs" dxfId="368" priority="1138" operator="lessThan">
      <formula>0</formula>
    </cfRule>
    <cfRule type="cellIs" dxfId="367" priority="1139" operator="greaterThan">
      <formula>0</formula>
    </cfRule>
    <cfRule type="cellIs" dxfId="366" priority="1140" operator="equal">
      <formula>0</formula>
    </cfRule>
  </conditionalFormatting>
  <conditionalFormatting sqref="C264:H264">
    <cfRule type="cellIs" dxfId="365" priority="1132" operator="lessThan">
      <formula>0</formula>
    </cfRule>
    <cfRule type="cellIs" dxfId="364" priority="1133" operator="greaterThan">
      <formula>0</formula>
    </cfRule>
    <cfRule type="cellIs" dxfId="363" priority="1134" operator="equal">
      <formula>0</formula>
    </cfRule>
  </conditionalFormatting>
  <conditionalFormatting sqref="C270:H270">
    <cfRule type="cellIs" dxfId="362" priority="1126" operator="lessThan">
      <formula>0</formula>
    </cfRule>
    <cfRule type="cellIs" dxfId="361" priority="1127" operator="greaterThan">
      <formula>0</formula>
    </cfRule>
    <cfRule type="cellIs" dxfId="360" priority="1128" operator="equal">
      <formula>0</formula>
    </cfRule>
  </conditionalFormatting>
  <conditionalFormatting sqref="C301:H301">
    <cfRule type="cellIs" dxfId="359" priority="1114" operator="lessThan">
      <formula>0</formula>
    </cfRule>
    <cfRule type="cellIs" dxfId="358" priority="1115" operator="greaterThan">
      <formula>0</formula>
    </cfRule>
    <cfRule type="cellIs" dxfId="357" priority="1116" operator="equal">
      <formula>0</formula>
    </cfRule>
  </conditionalFormatting>
  <conditionalFormatting sqref="C305:H305">
    <cfRule type="cellIs" dxfId="356" priority="1108" operator="lessThan">
      <formula>0</formula>
    </cfRule>
    <cfRule type="cellIs" dxfId="355" priority="1109" operator="greaterThan">
      <formula>0</formula>
    </cfRule>
    <cfRule type="cellIs" dxfId="354" priority="1110" operator="equal">
      <formula>0</formula>
    </cfRule>
  </conditionalFormatting>
  <conditionalFormatting sqref="C316:H316">
    <cfRule type="cellIs" dxfId="353" priority="1102" operator="lessThan">
      <formula>0</formula>
    </cfRule>
    <cfRule type="cellIs" dxfId="352" priority="1103" operator="greaterThan">
      <formula>0</formula>
    </cfRule>
    <cfRule type="cellIs" dxfId="351" priority="1104" operator="equal">
      <formula>0</formula>
    </cfRule>
  </conditionalFormatting>
  <conditionalFormatting sqref="C117:H117">
    <cfRule type="cellIs" dxfId="350" priority="1096" operator="lessThan">
      <formula>0</formula>
    </cfRule>
    <cfRule type="cellIs" dxfId="349" priority="1097" operator="greaterThan">
      <formula>0</formula>
    </cfRule>
    <cfRule type="cellIs" dxfId="348" priority="1098" operator="equal">
      <formula>0</formula>
    </cfRule>
  </conditionalFormatting>
  <conditionalFormatting sqref="C322:H322">
    <cfRule type="cellIs" dxfId="347" priority="1090" operator="lessThan">
      <formula>0</formula>
    </cfRule>
    <cfRule type="cellIs" dxfId="346" priority="1091" operator="greaterThan">
      <formula>0</formula>
    </cfRule>
    <cfRule type="cellIs" dxfId="345" priority="1092" operator="equal">
      <formula>0</formula>
    </cfRule>
  </conditionalFormatting>
  <conditionalFormatting sqref="C333:H333">
    <cfRule type="cellIs" dxfId="344" priority="1084" operator="lessThan">
      <formula>0</formula>
    </cfRule>
    <cfRule type="cellIs" dxfId="343" priority="1085" operator="greaterThan">
      <formula>0</formula>
    </cfRule>
    <cfRule type="cellIs" dxfId="342" priority="1086" operator="equal">
      <formula>0</formula>
    </cfRule>
  </conditionalFormatting>
  <conditionalFormatting sqref="C345:H345">
    <cfRule type="cellIs" dxfId="341" priority="1078" operator="lessThan">
      <formula>0</formula>
    </cfRule>
    <cfRule type="cellIs" dxfId="340" priority="1079" operator="greaterThan">
      <formula>0</formula>
    </cfRule>
    <cfRule type="cellIs" dxfId="339" priority="1080" operator="equal">
      <formula>0</formula>
    </cfRule>
  </conditionalFormatting>
  <conditionalFormatting sqref="C350:H350">
    <cfRule type="cellIs" dxfId="338" priority="1072" operator="lessThan">
      <formula>0</formula>
    </cfRule>
    <cfRule type="cellIs" dxfId="337" priority="1073" operator="greaterThan">
      <formula>0</formula>
    </cfRule>
    <cfRule type="cellIs" dxfId="336" priority="1074" operator="equal">
      <formula>0</formula>
    </cfRule>
  </conditionalFormatting>
  <conditionalFormatting sqref="C394:H394">
    <cfRule type="cellIs" dxfId="335" priority="1066" operator="lessThan">
      <formula>0</formula>
    </cfRule>
    <cfRule type="cellIs" dxfId="334" priority="1067" operator="greaterThan">
      <formula>0</formula>
    </cfRule>
    <cfRule type="cellIs" dxfId="333" priority="1068" operator="equal">
      <formula>0</formula>
    </cfRule>
  </conditionalFormatting>
  <conditionalFormatting sqref="C406:H406">
    <cfRule type="cellIs" dxfId="332" priority="1060" operator="lessThan">
      <formula>0</formula>
    </cfRule>
    <cfRule type="cellIs" dxfId="331" priority="1061" operator="greaterThan">
      <formula>0</formula>
    </cfRule>
    <cfRule type="cellIs" dxfId="330" priority="1062" operator="equal">
      <formula>0</formula>
    </cfRule>
  </conditionalFormatting>
  <conditionalFormatting sqref="C290:H290">
    <cfRule type="cellIs" dxfId="329" priority="956" operator="lessThan">
      <formula>0</formula>
    </cfRule>
    <cfRule type="cellIs" dxfId="328" priority="957" operator="greaterThan">
      <formula>0</formula>
    </cfRule>
    <cfRule type="cellIs" dxfId="327" priority="958" operator="equal">
      <formula>0</formula>
    </cfRule>
    <cfRule type="cellIs" dxfId="326" priority="1051" operator="lessThan">
      <formula>0</formula>
    </cfRule>
    <cfRule type="cellIs" dxfId="325" priority="1052" operator="greaterThan">
      <formula>0</formula>
    </cfRule>
    <cfRule type="cellIs" dxfId="324" priority="1053" operator="equal">
      <formula>0</formula>
    </cfRule>
  </conditionalFormatting>
  <conditionalFormatting sqref="F418">
    <cfRule type="cellIs" dxfId="320" priority="1036" operator="lessThan">
      <formula>0</formula>
    </cfRule>
    <cfRule type="cellIs" dxfId="319" priority="1037" operator="greaterThan">
      <formula>0</formula>
    </cfRule>
    <cfRule type="cellIs" dxfId="318" priority="1038" operator="equal">
      <formula>0</formula>
    </cfRule>
  </conditionalFormatting>
  <conditionalFormatting sqref="C16:H16">
    <cfRule type="cellIs" dxfId="311" priority="933" operator="lessThan">
      <formula>0</formula>
    </cfRule>
    <cfRule type="cellIs" dxfId="310" priority="934" operator="greaterThan">
      <formula>0</formula>
    </cfRule>
    <cfRule type="cellIs" dxfId="309" priority="935" operator="equal">
      <formula>0</formula>
    </cfRule>
  </conditionalFormatting>
  <conditionalFormatting sqref="C108:H108">
    <cfRule type="cellIs" dxfId="279" priority="736" operator="lessThan">
      <formula>0</formula>
    </cfRule>
    <cfRule type="cellIs" dxfId="278" priority="737" operator="greaterThan">
      <formula>0</formula>
    </cfRule>
    <cfRule type="cellIs" dxfId="277" priority="738" operator="equal">
      <formula>0</formula>
    </cfRule>
  </conditionalFormatting>
  <conditionalFormatting sqref="C410:H410">
    <cfRule type="cellIs" dxfId="276" priority="733" operator="lessThan">
      <formula>0</formula>
    </cfRule>
    <cfRule type="cellIs" dxfId="275" priority="734" operator="greaterThan">
      <formula>0</formula>
    </cfRule>
    <cfRule type="cellIs" dxfId="274" priority="735" operator="equal">
      <formula>0</formula>
    </cfRule>
  </conditionalFormatting>
  <conditionalFormatting sqref="F420">
    <cfRule type="cellIs" dxfId="263" priority="705" operator="equal">
      <formula>0</formula>
    </cfRule>
  </conditionalFormatting>
  <conditionalFormatting sqref="C62:H62">
    <cfRule type="cellIs" dxfId="262" priority="694" operator="lessThan">
      <formula>0</formula>
    </cfRule>
    <cfRule type="cellIs" dxfId="261" priority="695" operator="greaterThan">
      <formula>0</formula>
    </cfRule>
    <cfRule type="cellIs" dxfId="260" priority="696" operator="equal">
      <formula>0</formula>
    </cfRule>
  </conditionalFormatting>
  <conditionalFormatting sqref="C228:H228">
    <cfRule type="cellIs" dxfId="174" priority="397" operator="lessThan">
      <formula>0</formula>
    </cfRule>
    <cfRule type="cellIs" dxfId="173" priority="398" operator="greaterThan">
      <formula>0</formula>
    </cfRule>
    <cfRule type="cellIs" dxfId="172" priority="399" operator="equal">
      <formula>0</formula>
    </cfRule>
  </conditionalFormatting>
  <conditionalFormatting sqref="C31:H31">
    <cfRule type="cellIs" dxfId="157" priority="331" operator="lessThan">
      <formula>0</formula>
    </cfRule>
    <cfRule type="cellIs" dxfId="156" priority="332" operator="greaterThan">
      <formula>0</formula>
    </cfRule>
    <cfRule type="cellIs" dxfId="155" priority="333" operator="equal">
      <formula>0</formula>
    </cfRule>
  </conditionalFormatting>
  <conditionalFormatting sqref="C58:H58">
    <cfRule type="cellIs" dxfId="112" priority="193" operator="lessThan">
      <formula>0</formula>
    </cfRule>
    <cfRule type="cellIs" dxfId="111" priority="194" operator="greaterThan">
      <formula>0</formula>
    </cfRule>
    <cfRule type="cellIs" dxfId="110" priority="195" operator="equal">
      <formula>0</formula>
    </cfRule>
  </conditionalFormatting>
  <conditionalFormatting sqref="H416">
    <cfRule type="cellIs" dxfId="105" priority="172" operator="lessThan">
      <formula>0</formula>
    </cfRule>
    <cfRule type="cellIs" dxfId="104" priority="173" operator="greaterThan">
      <formula>0</formula>
    </cfRule>
    <cfRule type="cellIs" dxfId="103" priority="174" operator="equal">
      <formula>0</formula>
    </cfRule>
  </conditionalFormatting>
  <conditionalFormatting sqref="C44:H44">
    <cfRule type="cellIs" dxfId="102" priority="162" operator="lessThan">
      <formula>0</formula>
    </cfRule>
    <cfRule type="cellIs" dxfId="101" priority="163" operator="greaterThan">
      <formula>0</formula>
    </cfRule>
    <cfRule type="cellIs" dxfId="100" priority="164" operator="equal">
      <formula>0</formula>
    </cfRule>
  </conditionalFormatting>
  <conditionalFormatting sqref="F416">
    <cfRule type="cellIs" dxfId="60" priority="77" operator="lessThan">
      <formula>0</formula>
    </cfRule>
    <cfRule type="cellIs" dxfId="59" priority="78" operator="greaterThan">
      <formula>0</formula>
    </cfRule>
    <cfRule type="cellIs" dxfId="58" priority="79" operator="equal">
      <formula>0</formula>
    </cfRule>
  </conditionalFormatting>
  <conditionalFormatting sqref="C427">
    <cfRule type="cellIs" dxfId="13" priority="12" operator="lessThan">
      <formula>0</formula>
    </cfRule>
    <cfRule type="cellIs" dxfId="12" priority="13" operator="greaterThan">
      <formula>0</formula>
    </cfRule>
    <cfRule type="cellIs" dxfId="11" priority="14" operator="equal">
      <formula>0</formula>
    </cfRule>
  </conditionalFormatting>
  <printOptions verticalCentered="1"/>
  <pageMargins left="0.15748031496062992" right="0.15748031496062992" top="0.74803149606299213" bottom="0.74803149606299213" header="0.31496062992125984" footer="0.15748031496062992"/>
  <pageSetup paperSize="5" scale="10" orientation="landscape" horizontalDpi="300" verticalDpi="300" r:id="rId1"/>
  <headerFooter alignWithMargins="0">
    <oddFooter>&amp;C&amp;12Página &amp;P de &amp;N</oddFooter>
  </headerFooter>
  <rowBreaks count="1" manualBreakCount="1">
    <brk id="412" max="16383" man="1"/>
  </rowBreaks>
  <ignoredErrors>
    <ignoredError sqref="B4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 BANCO</vt:lpstr>
      <vt:lpstr>'MADRE BANCO'!Área_de_impresión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2024-02-28T17:49:53Z</cp:lastPrinted>
  <dcterms:created xsi:type="dcterms:W3CDTF">2010-04-29T16:52:07Z</dcterms:created>
  <dcterms:modified xsi:type="dcterms:W3CDTF">2024-09-25T20:54:38Z</dcterms:modified>
</cp:coreProperties>
</file>