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eva carpeta\Nueva carpeta\"/>
    </mc:Choice>
  </mc:AlternateContent>
  <bookViews>
    <workbookView xWindow="0" yWindow="0" windowWidth="28125" windowHeight="12495"/>
  </bookViews>
  <sheets>
    <sheet name="MADRE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MADRE!$A$5:$S$121</definedName>
    <definedName name="_xlnm.Print_Area" localSheetId="0">MADRE!$A$1:$H$527</definedName>
  </definedNames>
  <calcPr calcId="162913"/>
</workbook>
</file>

<file path=xl/calcChain.xml><?xml version="1.0" encoding="utf-8"?>
<calcChain xmlns="http://schemas.openxmlformats.org/spreadsheetml/2006/main">
  <c r="B527" i="6" l="1"/>
  <c r="B526" i="6"/>
  <c r="B525" i="6"/>
  <c r="B524" i="6"/>
  <c r="B523" i="6"/>
  <c r="B522" i="6"/>
  <c r="G516" i="6"/>
  <c r="F516" i="6"/>
  <c r="E516" i="6"/>
  <c r="D516" i="6"/>
  <c r="C515" i="6"/>
  <c r="C516" i="6" s="1"/>
  <c r="G508" i="6"/>
  <c r="F508" i="6"/>
  <c r="E508" i="6"/>
  <c r="D508" i="6"/>
  <c r="C507" i="6"/>
  <c r="H507" i="6" s="1"/>
  <c r="C506" i="6"/>
  <c r="H506" i="6" s="1"/>
  <c r="C505" i="6"/>
  <c r="H505" i="6" s="1"/>
  <c r="C504" i="6"/>
  <c r="H504" i="6" s="1"/>
  <c r="C503" i="6"/>
  <c r="H503" i="6" s="1"/>
  <c r="C502" i="6"/>
  <c r="H502" i="6" s="1"/>
  <c r="C501" i="6"/>
  <c r="G499" i="6"/>
  <c r="F499" i="6"/>
  <c r="E499" i="6"/>
  <c r="D499" i="6"/>
  <c r="C498" i="6"/>
  <c r="H498" i="6" s="1"/>
  <c r="C497" i="6"/>
  <c r="H497" i="6" s="1"/>
  <c r="C496" i="6"/>
  <c r="H496" i="6" s="1"/>
  <c r="C495" i="6"/>
  <c r="H495" i="6" s="1"/>
  <c r="C494" i="6"/>
  <c r="H494" i="6" s="1"/>
  <c r="C493" i="6"/>
  <c r="H493" i="6" s="1"/>
  <c r="C492" i="6"/>
  <c r="H492" i="6" s="1"/>
  <c r="C491" i="6"/>
  <c r="H491" i="6" s="1"/>
  <c r="C490" i="6"/>
  <c r="H490" i="6" s="1"/>
  <c r="C489" i="6"/>
  <c r="H489" i="6" s="1"/>
  <c r="C488" i="6"/>
  <c r="H488" i="6" s="1"/>
  <c r="C487" i="6"/>
  <c r="H487" i="6" s="1"/>
  <c r="C486" i="6"/>
  <c r="H486" i="6" s="1"/>
  <c r="C485" i="6"/>
  <c r="H485" i="6" s="1"/>
  <c r="C484" i="6"/>
  <c r="H484" i="6" s="1"/>
  <c r="C483" i="6"/>
  <c r="H483" i="6" s="1"/>
  <c r="C482" i="6"/>
  <c r="H482" i="6" s="1"/>
  <c r="C481" i="6"/>
  <c r="H481" i="6" s="1"/>
  <c r="C480" i="6"/>
  <c r="H480" i="6" s="1"/>
  <c r="C479" i="6"/>
  <c r="H479" i="6" s="1"/>
  <c r="C478" i="6"/>
  <c r="H478" i="6" s="1"/>
  <c r="C477" i="6"/>
  <c r="H477" i="6" s="1"/>
  <c r="C476" i="6"/>
  <c r="H476" i="6" s="1"/>
  <c r="C475" i="6"/>
  <c r="H475" i="6" s="1"/>
  <c r="C474" i="6"/>
  <c r="H474" i="6" s="1"/>
  <c r="C473" i="6"/>
  <c r="H473" i="6" s="1"/>
  <c r="C472" i="6"/>
  <c r="H472" i="6" s="1"/>
  <c r="C471" i="6"/>
  <c r="H471" i="6" s="1"/>
  <c r="C470" i="6"/>
  <c r="H470" i="6" s="1"/>
  <c r="C469" i="6"/>
  <c r="H469" i="6" s="1"/>
  <c r="C468" i="6"/>
  <c r="H468" i="6" s="1"/>
  <c r="C467" i="6"/>
  <c r="H467" i="6" s="1"/>
  <c r="C466" i="6"/>
  <c r="H466" i="6" s="1"/>
  <c r="C465" i="6"/>
  <c r="H465" i="6" s="1"/>
  <c r="C464" i="6"/>
  <c r="H464" i="6" s="1"/>
  <c r="C463" i="6"/>
  <c r="H463" i="6" s="1"/>
  <c r="C462" i="6"/>
  <c r="H462" i="6" s="1"/>
  <c r="C461" i="6"/>
  <c r="H461" i="6" s="1"/>
  <c r="C460" i="6"/>
  <c r="G453" i="6"/>
  <c r="F453" i="6"/>
  <c r="E453" i="6"/>
  <c r="D453" i="6"/>
  <c r="C452" i="6"/>
  <c r="H452" i="6" s="1"/>
  <c r="C451" i="6"/>
  <c r="H451" i="6" s="1"/>
  <c r="G448" i="6"/>
  <c r="F448" i="6"/>
  <c r="F454" i="6" s="1"/>
  <c r="E448" i="6"/>
  <c r="C447" i="6"/>
  <c r="H447" i="6" s="1"/>
  <c r="C446" i="6"/>
  <c r="H446" i="6" s="1"/>
  <c r="C445" i="6"/>
  <c r="H445" i="6" s="1"/>
  <c r="C444" i="6"/>
  <c r="H444" i="6" s="1"/>
  <c r="C443" i="6"/>
  <c r="H443" i="6" s="1"/>
  <c r="C442" i="6"/>
  <c r="H442" i="6" s="1"/>
  <c r="C441" i="6"/>
  <c r="H441" i="6" s="1"/>
  <c r="C440" i="6"/>
  <c r="H440" i="6" s="1"/>
  <c r="D439" i="6"/>
  <c r="C439" i="6"/>
  <c r="D438" i="6"/>
  <c r="D448" i="6" s="1"/>
  <c r="D454" i="6" s="1"/>
  <c r="C438" i="6"/>
  <c r="C448" i="6" s="1"/>
  <c r="G432" i="6"/>
  <c r="F432" i="6"/>
  <c r="E432" i="6"/>
  <c r="H431" i="6"/>
  <c r="H430" i="6"/>
  <c r="C429" i="6"/>
  <c r="H429" i="6" s="1"/>
  <c r="C428" i="6"/>
  <c r="H428" i="6" s="1"/>
  <c r="C427" i="6"/>
  <c r="H427" i="6" s="1"/>
  <c r="H426" i="6"/>
  <c r="D425" i="6"/>
  <c r="D432" i="6" s="1"/>
  <c r="C425" i="6"/>
  <c r="H424" i="6"/>
  <c r="C424" i="6"/>
  <c r="H423" i="6"/>
  <c r="C423" i="6"/>
  <c r="G417" i="6"/>
  <c r="F417" i="6"/>
  <c r="E417" i="6"/>
  <c r="C416" i="6"/>
  <c r="H416" i="6" s="1"/>
  <c r="C415" i="6"/>
  <c r="H415" i="6" s="1"/>
  <c r="D414" i="6"/>
  <c r="D417" i="6" s="1"/>
  <c r="C414" i="6"/>
  <c r="C417" i="6" s="1"/>
  <c r="G408" i="6"/>
  <c r="F408" i="6"/>
  <c r="E408" i="6"/>
  <c r="C407" i="6"/>
  <c r="H407" i="6" s="1"/>
  <c r="D406" i="6"/>
  <c r="C406" i="6"/>
  <c r="D405" i="6"/>
  <c r="C405" i="6"/>
  <c r="H405" i="6" s="1"/>
  <c r="C404" i="6"/>
  <c r="H404" i="6" s="1"/>
  <c r="C403" i="6"/>
  <c r="H403" i="6" s="1"/>
  <c r="C402" i="6"/>
  <c r="H402" i="6" s="1"/>
  <c r="D401" i="6"/>
  <c r="C401" i="6"/>
  <c r="D400" i="6"/>
  <c r="C400" i="6"/>
  <c r="D399" i="6"/>
  <c r="D408" i="6" s="1"/>
  <c r="C399" i="6"/>
  <c r="B396" i="6"/>
  <c r="G392" i="6"/>
  <c r="F392" i="6"/>
  <c r="E392" i="6"/>
  <c r="D392" i="6"/>
  <c r="C391" i="6"/>
  <c r="G388" i="6"/>
  <c r="F388" i="6"/>
  <c r="E388" i="6"/>
  <c r="D387" i="6"/>
  <c r="C387" i="6"/>
  <c r="C386" i="6"/>
  <c r="H386" i="6" s="1"/>
  <c r="D385" i="6"/>
  <c r="C385" i="6"/>
  <c r="C384" i="6"/>
  <c r="H384" i="6" s="1"/>
  <c r="C383" i="6"/>
  <c r="H383" i="6" s="1"/>
  <c r="C382" i="6"/>
  <c r="H382" i="6" s="1"/>
  <c r="C381" i="6"/>
  <c r="H381" i="6" s="1"/>
  <c r="D380" i="6"/>
  <c r="C380" i="6"/>
  <c r="G377" i="6"/>
  <c r="F377" i="6"/>
  <c r="C376" i="6"/>
  <c r="H376" i="6" s="1"/>
  <c r="C375" i="6"/>
  <c r="H375" i="6" s="1"/>
  <c r="C374" i="6"/>
  <c r="H374" i="6" s="1"/>
  <c r="C373" i="6"/>
  <c r="H373" i="6" s="1"/>
  <c r="C372" i="6"/>
  <c r="H372" i="6" s="1"/>
  <c r="D371" i="6"/>
  <c r="D377" i="6" s="1"/>
  <c r="C371" i="6"/>
  <c r="E370" i="6"/>
  <c r="E377" i="6" s="1"/>
  <c r="C370" i="6"/>
  <c r="C369" i="6"/>
  <c r="H369" i="6" s="1"/>
  <c r="C368" i="6"/>
  <c r="H368" i="6" s="1"/>
  <c r="C367" i="6"/>
  <c r="H367" i="6" s="1"/>
  <c r="C366" i="6"/>
  <c r="H366" i="6" s="1"/>
  <c r="C365" i="6"/>
  <c r="H365" i="6" s="1"/>
  <c r="C364" i="6"/>
  <c r="H364" i="6" s="1"/>
  <c r="C363" i="6"/>
  <c r="H363" i="6" s="1"/>
  <c r="C362" i="6"/>
  <c r="H362" i="6" s="1"/>
  <c r="C361" i="6"/>
  <c r="H361" i="6" s="1"/>
  <c r="C360" i="6"/>
  <c r="H360" i="6" s="1"/>
  <c r="G357" i="6"/>
  <c r="F357" i="6"/>
  <c r="E357" i="6"/>
  <c r="C356" i="6"/>
  <c r="H356" i="6" s="1"/>
  <c r="D355" i="6"/>
  <c r="C355" i="6"/>
  <c r="D354" i="6"/>
  <c r="D357" i="6" s="1"/>
  <c r="C354" i="6"/>
  <c r="C357" i="6" s="1"/>
  <c r="G351" i="6"/>
  <c r="F351" i="6"/>
  <c r="E351" i="6"/>
  <c r="C350" i="6"/>
  <c r="H350" i="6" s="1"/>
  <c r="C349" i="6"/>
  <c r="H349" i="6" s="1"/>
  <c r="H348" i="6"/>
  <c r="C347" i="6"/>
  <c r="H347" i="6" s="1"/>
  <c r="C346" i="6"/>
  <c r="H346" i="6" s="1"/>
  <c r="D345" i="6"/>
  <c r="C345" i="6"/>
  <c r="H344" i="6"/>
  <c r="D343" i="6"/>
  <c r="C343" i="6"/>
  <c r="D342" i="6"/>
  <c r="C342" i="6"/>
  <c r="G339" i="6"/>
  <c r="F339" i="6"/>
  <c r="E339" i="6"/>
  <c r="D338" i="6"/>
  <c r="D339" i="6" s="1"/>
  <c r="C338" i="6"/>
  <c r="C339" i="6" s="1"/>
  <c r="G334" i="6"/>
  <c r="F334" i="6"/>
  <c r="F393" i="6" s="1"/>
  <c r="E334" i="6"/>
  <c r="C333" i="6"/>
  <c r="H333" i="6" s="1"/>
  <c r="D332" i="6"/>
  <c r="C332" i="6"/>
  <c r="H331" i="6"/>
  <c r="C330" i="6"/>
  <c r="H330" i="6" s="1"/>
  <c r="C329" i="6"/>
  <c r="H329" i="6" s="1"/>
  <c r="C328" i="6"/>
  <c r="H328" i="6" s="1"/>
  <c r="C327" i="6"/>
  <c r="H327" i="6" s="1"/>
  <c r="C326" i="6"/>
  <c r="H326" i="6" s="1"/>
  <c r="D325" i="6"/>
  <c r="C325" i="6"/>
  <c r="D324" i="6"/>
  <c r="C324" i="6"/>
  <c r="H324" i="6" s="1"/>
  <c r="C323" i="6"/>
  <c r="H323" i="6" s="1"/>
  <c r="C322" i="6"/>
  <c r="H322" i="6" s="1"/>
  <c r="D321" i="6"/>
  <c r="C321" i="6"/>
  <c r="H321" i="6" s="1"/>
  <c r="D320" i="6"/>
  <c r="C320" i="6"/>
  <c r="H320" i="6" s="1"/>
  <c r="D319" i="6"/>
  <c r="C319" i="6"/>
  <c r="D318" i="6"/>
  <c r="C318" i="6"/>
  <c r="C334" i="6" s="1"/>
  <c r="G312" i="6"/>
  <c r="F312" i="6"/>
  <c r="E312" i="6"/>
  <c r="D312" i="6"/>
  <c r="C312" i="6"/>
  <c r="H311" i="6"/>
  <c r="H312" i="6" s="1"/>
  <c r="G305" i="6"/>
  <c r="F305" i="6"/>
  <c r="E305" i="6"/>
  <c r="D304" i="6"/>
  <c r="C304" i="6"/>
  <c r="C303" i="6"/>
  <c r="H303" i="6" s="1"/>
  <c r="D302" i="6"/>
  <c r="C302" i="6"/>
  <c r="G295" i="6"/>
  <c r="F295" i="6"/>
  <c r="E295" i="6"/>
  <c r="D293" i="6"/>
  <c r="C293" i="6"/>
  <c r="D292" i="6"/>
  <c r="C292" i="6"/>
  <c r="D291" i="6"/>
  <c r="C291" i="6"/>
  <c r="D290" i="6"/>
  <c r="C290" i="6"/>
  <c r="D289" i="6"/>
  <c r="C289" i="6"/>
  <c r="D288" i="6"/>
  <c r="C288" i="6"/>
  <c r="D287" i="6"/>
  <c r="C287" i="6"/>
  <c r="D286" i="6"/>
  <c r="C286" i="6"/>
  <c r="D285" i="6"/>
  <c r="C285" i="6"/>
  <c r="D284" i="6"/>
  <c r="C284" i="6"/>
  <c r="K283" i="6"/>
  <c r="D283" i="6"/>
  <c r="C283" i="6"/>
  <c r="G280" i="6"/>
  <c r="F280" i="6"/>
  <c r="E280" i="6"/>
  <c r="D279" i="6"/>
  <c r="C279" i="6"/>
  <c r="D278" i="6"/>
  <c r="C278" i="6"/>
  <c r="D277" i="6"/>
  <c r="C277" i="6"/>
  <c r="D276" i="6"/>
  <c r="C276" i="6"/>
  <c r="D275" i="6"/>
  <c r="C275" i="6"/>
  <c r="D274" i="6"/>
  <c r="C274" i="6"/>
  <c r="D273" i="6"/>
  <c r="C273" i="6"/>
  <c r="C280" i="6" s="1"/>
  <c r="G270" i="6"/>
  <c r="F270" i="6"/>
  <c r="E270" i="6"/>
  <c r="D269" i="6"/>
  <c r="C269" i="6"/>
  <c r="D268" i="6"/>
  <c r="C268" i="6"/>
  <c r="D267" i="6"/>
  <c r="C267" i="6"/>
  <c r="C270" i="6" s="1"/>
  <c r="G264" i="6"/>
  <c r="F264" i="6"/>
  <c r="E264" i="6"/>
  <c r="D263" i="6"/>
  <c r="C263" i="6"/>
  <c r="D262" i="6"/>
  <c r="D264" i="6" s="1"/>
  <c r="C262" i="6"/>
  <c r="C264" i="6" s="1"/>
  <c r="G256" i="6"/>
  <c r="F256" i="6"/>
  <c r="E256" i="6"/>
  <c r="C255" i="6"/>
  <c r="H255" i="6" s="1"/>
  <c r="C254" i="6"/>
  <c r="H254" i="6" s="1"/>
  <c r="D253" i="6"/>
  <c r="D256" i="6" s="1"/>
  <c r="C253" i="6"/>
  <c r="C256" i="6" s="1"/>
  <c r="G247" i="6"/>
  <c r="F247" i="6"/>
  <c r="E247" i="6"/>
  <c r="C246" i="6"/>
  <c r="H246" i="6" s="1"/>
  <c r="D245" i="6"/>
  <c r="C245" i="6"/>
  <c r="C244" i="6"/>
  <c r="H244" i="6" s="1"/>
  <c r="D243" i="6"/>
  <c r="C243" i="6"/>
  <c r="G237" i="6"/>
  <c r="F237" i="6"/>
  <c r="E237" i="6"/>
  <c r="C236" i="6"/>
  <c r="H236" i="6" s="1"/>
  <c r="D235" i="6"/>
  <c r="C235" i="6"/>
  <c r="H234" i="6"/>
  <c r="C234" i="6"/>
  <c r="H233" i="6"/>
  <c r="C233" i="6"/>
  <c r="H232" i="6"/>
  <c r="C232" i="6"/>
  <c r="H231" i="6"/>
  <c r="C231" i="6"/>
  <c r="H230" i="6"/>
  <c r="C230" i="6"/>
  <c r="H229" i="6"/>
  <c r="C229" i="6"/>
  <c r="H228" i="6"/>
  <c r="C228" i="6"/>
  <c r="H227" i="6"/>
  <c r="C227" i="6"/>
  <c r="H226" i="6"/>
  <c r="C225" i="6"/>
  <c r="H225" i="6" s="1"/>
  <c r="C224" i="6"/>
  <c r="H224" i="6" s="1"/>
  <c r="C223" i="6"/>
  <c r="H223" i="6" s="1"/>
  <c r="C222" i="6"/>
  <c r="H222" i="6" s="1"/>
  <c r="D221" i="6"/>
  <c r="C221" i="6"/>
  <c r="C237" i="6" s="1"/>
  <c r="B218" i="6"/>
  <c r="B217" i="6"/>
  <c r="G215" i="6"/>
  <c r="F215" i="6"/>
  <c r="E215" i="6"/>
  <c r="C214" i="6"/>
  <c r="H214" i="6" s="1"/>
  <c r="D213" i="6"/>
  <c r="D215" i="6" s="1"/>
  <c r="C213" i="6"/>
  <c r="C215" i="6" s="1"/>
  <c r="G206" i="6"/>
  <c r="F206" i="6"/>
  <c r="E206" i="6"/>
  <c r="D205" i="6"/>
  <c r="C205" i="6"/>
  <c r="D204" i="6"/>
  <c r="C204" i="6"/>
  <c r="D203" i="6"/>
  <c r="C203" i="6"/>
  <c r="D202" i="6"/>
  <c r="C202" i="6"/>
  <c r="D201" i="6"/>
  <c r="C201" i="6"/>
  <c r="D200" i="6"/>
  <c r="C200" i="6"/>
  <c r="D199" i="6"/>
  <c r="C199" i="6"/>
  <c r="D198" i="6"/>
  <c r="C198" i="6"/>
  <c r="D197" i="6"/>
  <c r="C197" i="6"/>
  <c r="D196" i="6"/>
  <c r="C196" i="6"/>
  <c r="C206" i="6" s="1"/>
  <c r="G193" i="6"/>
  <c r="G207" i="6" s="1"/>
  <c r="F193" i="6"/>
  <c r="E193" i="6"/>
  <c r="E207" i="6" s="1"/>
  <c r="D192" i="6"/>
  <c r="C192" i="6"/>
  <c r="D191" i="6"/>
  <c r="C191" i="6"/>
  <c r="C190" i="6"/>
  <c r="H190" i="6" s="1"/>
  <c r="D189" i="6"/>
  <c r="C189" i="6"/>
  <c r="D188" i="6"/>
  <c r="C188" i="6"/>
  <c r="G182" i="6"/>
  <c r="F182" i="6"/>
  <c r="E182" i="6"/>
  <c r="D182" i="6"/>
  <c r="C182" i="6"/>
  <c r="H181" i="6"/>
  <c r="H182" i="6" s="1"/>
  <c r="G175" i="6"/>
  <c r="F175" i="6"/>
  <c r="E175" i="6"/>
  <c r="D174" i="6"/>
  <c r="D175" i="6" s="1"/>
  <c r="C174" i="6"/>
  <c r="C175" i="6" s="1"/>
  <c r="G168" i="6"/>
  <c r="F168" i="6"/>
  <c r="E168" i="6"/>
  <c r="C167" i="6"/>
  <c r="H167" i="6" s="1"/>
  <c r="D166" i="6"/>
  <c r="D168" i="6" s="1"/>
  <c r="C166" i="6"/>
  <c r="C168" i="6" s="1"/>
  <c r="G160" i="6"/>
  <c r="F160" i="6"/>
  <c r="E160" i="6"/>
  <c r="D159" i="6"/>
  <c r="D160" i="6" s="1"/>
  <c r="C159" i="6"/>
  <c r="C160" i="6" s="1"/>
  <c r="G153" i="6"/>
  <c r="F153" i="6"/>
  <c r="E153" i="6"/>
  <c r="D152" i="6"/>
  <c r="C152" i="6"/>
  <c r="C151" i="6"/>
  <c r="H151" i="6" s="1"/>
  <c r="D150" i="6"/>
  <c r="C150" i="6"/>
  <c r="D149" i="6"/>
  <c r="C149" i="6"/>
  <c r="D148" i="6"/>
  <c r="C148" i="6"/>
  <c r="C147" i="6"/>
  <c r="H147" i="6" s="1"/>
  <c r="D146" i="6"/>
  <c r="C146" i="6"/>
  <c r="C153" i="6" s="1"/>
  <c r="G140" i="6"/>
  <c r="F140" i="6"/>
  <c r="E140" i="6"/>
  <c r="C139" i="6"/>
  <c r="H139" i="6" s="1"/>
  <c r="C138" i="6"/>
  <c r="H138" i="6" s="1"/>
  <c r="C137" i="6"/>
  <c r="H137" i="6" s="1"/>
  <c r="C136" i="6"/>
  <c r="H136" i="6" s="1"/>
  <c r="D135" i="6"/>
  <c r="C135" i="6"/>
  <c r="D134" i="6"/>
  <c r="C134" i="6"/>
  <c r="G128" i="6"/>
  <c r="F128" i="6"/>
  <c r="E128" i="6"/>
  <c r="C127" i="6"/>
  <c r="H127" i="6" s="1"/>
  <c r="C126" i="6"/>
  <c r="H126" i="6" s="1"/>
  <c r="C125" i="6"/>
  <c r="H125" i="6" s="1"/>
  <c r="C124" i="6"/>
  <c r="H124" i="6" s="1"/>
  <c r="D123" i="6"/>
  <c r="D128" i="6" s="1"/>
  <c r="C123" i="6"/>
  <c r="C128" i="6" s="1"/>
  <c r="G116" i="6"/>
  <c r="F116" i="6"/>
  <c r="E116" i="6"/>
  <c r="C115" i="6"/>
  <c r="H115" i="6" s="1"/>
  <c r="D114" i="6"/>
  <c r="D116" i="6" s="1"/>
  <c r="C114" i="6"/>
  <c r="C116" i="6" s="1"/>
  <c r="G108" i="6"/>
  <c r="F108" i="6"/>
  <c r="E108" i="6"/>
  <c r="D107" i="6"/>
  <c r="C107" i="6"/>
  <c r="C106" i="6"/>
  <c r="H106" i="6" s="1"/>
  <c r="C105" i="6"/>
  <c r="H105" i="6" s="1"/>
  <c r="C104" i="6"/>
  <c r="H104" i="6" s="1"/>
  <c r="C103" i="6"/>
  <c r="H103" i="6" s="1"/>
  <c r="D102" i="6"/>
  <c r="C102" i="6"/>
  <c r="D101" i="6"/>
  <c r="D108" i="6" s="1"/>
  <c r="C101" i="6"/>
  <c r="G95" i="6"/>
  <c r="F95" i="6"/>
  <c r="E95" i="6"/>
  <c r="D94" i="6"/>
  <c r="D95" i="6" s="1"/>
  <c r="C94" i="6"/>
  <c r="C95" i="6" s="1"/>
  <c r="G88" i="6"/>
  <c r="F88" i="6"/>
  <c r="E88" i="6"/>
  <c r="D87" i="6"/>
  <c r="D88" i="6" s="1"/>
  <c r="C87" i="6"/>
  <c r="C88" i="6" s="1"/>
  <c r="H86" i="6"/>
  <c r="F86" i="6"/>
  <c r="E86" i="6"/>
  <c r="D86" i="6"/>
  <c r="C86" i="6"/>
  <c r="B86" i="6"/>
  <c r="G81" i="6"/>
  <c r="F81" i="6"/>
  <c r="E81" i="6"/>
  <c r="C80" i="6"/>
  <c r="H80" i="6" s="1"/>
  <c r="D79" i="6"/>
  <c r="D81" i="6" s="1"/>
  <c r="C79" i="6"/>
  <c r="C81" i="6" s="1"/>
  <c r="H78" i="6"/>
  <c r="E78" i="6"/>
  <c r="D78" i="6"/>
  <c r="C78" i="6"/>
  <c r="B78" i="6"/>
  <c r="A78" i="6"/>
  <c r="H73" i="6"/>
  <c r="G73" i="6"/>
  <c r="F73" i="6"/>
  <c r="E73" i="6"/>
  <c r="D73" i="6"/>
  <c r="C73" i="6"/>
  <c r="G66" i="6"/>
  <c r="F66" i="6"/>
  <c r="E66" i="6"/>
  <c r="D65" i="6"/>
  <c r="D66" i="6" s="1"/>
  <c r="C65" i="6"/>
  <c r="C66" i="6" s="1"/>
  <c r="G58" i="6"/>
  <c r="F58" i="6"/>
  <c r="E58" i="6"/>
  <c r="D58" i="6"/>
  <c r="C57" i="6"/>
  <c r="G54" i="6"/>
  <c r="G59" i="6" s="1"/>
  <c r="F54" i="6"/>
  <c r="E54" i="6"/>
  <c r="E59" i="6" s="1"/>
  <c r="D53" i="6"/>
  <c r="C53" i="6"/>
  <c r="D52" i="6"/>
  <c r="C52" i="6"/>
  <c r="C51" i="6"/>
  <c r="H51" i="6" s="1"/>
  <c r="D50" i="6"/>
  <c r="C50" i="6"/>
  <c r="C54" i="6" s="1"/>
  <c r="D47" i="6"/>
  <c r="C47" i="6"/>
  <c r="G41" i="6"/>
  <c r="F41" i="6"/>
  <c r="E41" i="6"/>
  <c r="D40" i="6"/>
  <c r="C40" i="6"/>
  <c r="D39" i="6"/>
  <c r="C39" i="6"/>
  <c r="D38" i="6"/>
  <c r="C38" i="6"/>
  <c r="G32" i="6"/>
  <c r="F32" i="6"/>
  <c r="E32" i="6"/>
  <c r="D31" i="6"/>
  <c r="C31" i="6"/>
  <c r="D30" i="6"/>
  <c r="C30" i="6"/>
  <c r="C32" i="6" s="1"/>
  <c r="G24" i="6"/>
  <c r="F24" i="6"/>
  <c r="E24" i="6"/>
  <c r="C23" i="6"/>
  <c r="H23" i="6" s="1"/>
  <c r="C22" i="6"/>
  <c r="H22" i="6" s="1"/>
  <c r="D21" i="6"/>
  <c r="D24" i="6" s="1"/>
  <c r="C21" i="6"/>
  <c r="H20" i="6"/>
  <c r="G20" i="6"/>
  <c r="G29" i="6" s="1"/>
  <c r="G37" i="6" s="1"/>
  <c r="G46" i="6" s="1"/>
  <c r="G56" i="6" s="1"/>
  <c r="G64" i="6" s="1"/>
  <c r="G78" i="6" s="1"/>
  <c r="G86" i="6" s="1"/>
  <c r="G93" i="6" s="1"/>
  <c r="G100" i="6" s="1"/>
  <c r="G113" i="6" s="1"/>
  <c r="G121" i="6" s="1"/>
  <c r="G133" i="6" s="1"/>
  <c r="G145" i="6" s="1"/>
  <c r="G158" i="6" s="1"/>
  <c r="G165" i="6" s="1"/>
  <c r="G173" i="6" s="1"/>
  <c r="E20" i="6"/>
  <c r="D20" i="6"/>
  <c r="C20" i="6"/>
  <c r="B20" i="6"/>
  <c r="A20" i="6"/>
  <c r="G15" i="6"/>
  <c r="F15" i="6"/>
  <c r="E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D6" i="6"/>
  <c r="C6" i="6"/>
  <c r="C15" i="6" s="1"/>
  <c r="H8" i="6" l="1"/>
  <c r="H9" i="6"/>
  <c r="F59" i="6"/>
  <c r="C140" i="6"/>
  <c r="H135" i="6"/>
  <c r="F207" i="6"/>
  <c r="C247" i="6"/>
  <c r="H380" i="6"/>
  <c r="H385" i="6"/>
  <c r="H453" i="6"/>
  <c r="E509" i="6"/>
  <c r="G509" i="6"/>
  <c r="C499" i="6"/>
  <c r="H460" i="6"/>
  <c r="H499" i="6" s="1"/>
  <c r="H509" i="6" s="1"/>
  <c r="C392" i="6"/>
  <c r="H391" i="6"/>
  <c r="H392" i="6" s="1"/>
  <c r="C508" i="6"/>
  <c r="H501" i="6"/>
  <c r="H508" i="6" s="1"/>
  <c r="H10" i="6"/>
  <c r="H12" i="6"/>
  <c r="H13" i="6"/>
  <c r="H14" i="6"/>
  <c r="C108" i="6"/>
  <c r="H102" i="6"/>
  <c r="H107" i="6"/>
  <c r="H148" i="6"/>
  <c r="H149" i="6"/>
  <c r="H150" i="6"/>
  <c r="H191" i="6"/>
  <c r="H192" i="6"/>
  <c r="H197" i="6"/>
  <c r="H198" i="6"/>
  <c r="H199" i="6"/>
  <c r="H200" i="6"/>
  <c r="H201" i="6"/>
  <c r="H202" i="6"/>
  <c r="H203" i="6"/>
  <c r="H204" i="6"/>
  <c r="H205" i="6"/>
  <c r="H245" i="6"/>
  <c r="F296" i="6"/>
  <c r="H268" i="6"/>
  <c r="H269" i="6"/>
  <c r="C295" i="6"/>
  <c r="D305" i="6"/>
  <c r="H304" i="6"/>
  <c r="H342" i="6"/>
  <c r="H370" i="6"/>
  <c r="H377" i="6" s="1"/>
  <c r="H371" i="6"/>
  <c r="C432" i="6"/>
  <c r="D32" i="6"/>
  <c r="D54" i="6"/>
  <c r="D59" i="6" s="1"/>
  <c r="D193" i="6"/>
  <c r="D280" i="6"/>
  <c r="C351" i="6"/>
  <c r="H31" i="6"/>
  <c r="H38" i="6"/>
  <c r="H40" i="6"/>
  <c r="H47" i="6"/>
  <c r="H53" i="6"/>
  <c r="D140" i="6"/>
  <c r="D153" i="6"/>
  <c r="H152" i="6"/>
  <c r="C193" i="6"/>
  <c r="C207" i="6" s="1"/>
  <c r="H189" i="6"/>
  <c r="D206" i="6"/>
  <c r="D237" i="6"/>
  <c r="H235" i="6"/>
  <c r="D247" i="6"/>
  <c r="C296" i="6"/>
  <c r="H263" i="6"/>
  <c r="E296" i="6"/>
  <c r="G296" i="6"/>
  <c r="D270" i="6"/>
  <c r="D296" i="6" s="1"/>
  <c r="H274" i="6"/>
  <c r="H275" i="6"/>
  <c r="H276" i="6"/>
  <c r="H277" i="6"/>
  <c r="H278" i="6"/>
  <c r="H279" i="6"/>
  <c r="D295" i="6"/>
  <c r="H284" i="6"/>
  <c r="H285" i="6"/>
  <c r="H286" i="6"/>
  <c r="H287" i="6"/>
  <c r="H288" i="6"/>
  <c r="H289" i="6"/>
  <c r="H290" i="6"/>
  <c r="H291" i="6"/>
  <c r="H292" i="6"/>
  <c r="H293" i="6"/>
  <c r="H302" i="6"/>
  <c r="H305" i="6" s="1"/>
  <c r="E393" i="6"/>
  <c r="G393" i="6"/>
  <c r="D351" i="6"/>
  <c r="H345" i="6"/>
  <c r="H355" i="6"/>
  <c r="C408" i="6"/>
  <c r="H400" i="6"/>
  <c r="H439" i="6"/>
  <c r="C509" i="6"/>
  <c r="H515" i="6"/>
  <c r="H516" i="6" s="1"/>
  <c r="G187" i="6"/>
  <c r="G195" i="6" s="1"/>
  <c r="G212" i="6" s="1"/>
  <c r="G220" i="6" s="1"/>
  <c r="G242" i="6" s="1"/>
  <c r="G252" i="6" s="1"/>
  <c r="G261" i="6" s="1"/>
  <c r="G266" i="6" s="1"/>
  <c r="G272" i="6" s="1"/>
  <c r="G282" i="6" s="1"/>
  <c r="G301" i="6" s="1"/>
  <c r="G310" i="6" s="1"/>
  <c r="G317" i="6" s="1"/>
  <c r="G180" i="6"/>
  <c r="H6" i="6"/>
  <c r="D15" i="6"/>
  <c r="H7" i="6"/>
  <c r="H11" i="6"/>
  <c r="C24" i="6"/>
  <c r="H30" i="6"/>
  <c r="H32" i="6" s="1"/>
  <c r="D41" i="6"/>
  <c r="H39" i="6"/>
  <c r="H41" i="6" s="1"/>
  <c r="C41" i="6"/>
  <c r="H52" i="6"/>
  <c r="C58" i="6"/>
  <c r="C59" i="6" s="1"/>
  <c r="H57" i="6"/>
  <c r="H58" i="6" s="1"/>
  <c r="H65" i="6"/>
  <c r="H66" i="6" s="1"/>
  <c r="H50" i="6"/>
  <c r="H54" i="6" s="1"/>
  <c r="H59" i="6" s="1"/>
  <c r="E524" i="6"/>
  <c r="H114" i="6"/>
  <c r="H116" i="6" s="1"/>
  <c r="H134" i="6"/>
  <c r="H140" i="6" s="1"/>
  <c r="H146" i="6"/>
  <c r="H153" i="6" s="1"/>
  <c r="H166" i="6"/>
  <c r="H168" i="6" s="1"/>
  <c r="H188" i="6"/>
  <c r="H193" i="6" s="1"/>
  <c r="H196" i="6"/>
  <c r="H213" i="6"/>
  <c r="H215" i="6" s="1"/>
  <c r="H243" i="6"/>
  <c r="H253" i="6"/>
  <c r="H256" i="6" s="1"/>
  <c r="H267" i="6"/>
  <c r="H273" i="6"/>
  <c r="H283" i="6"/>
  <c r="H318" i="6"/>
  <c r="H343" i="6"/>
  <c r="C453" i="6"/>
  <c r="C454" i="6" s="1"/>
  <c r="H79" i="6"/>
  <c r="H81" i="6" s="1"/>
  <c r="H94" i="6"/>
  <c r="H95" i="6" s="1"/>
  <c r="H21" i="6"/>
  <c r="H24" i="6" s="1"/>
  <c r="H87" i="6"/>
  <c r="H88" i="6" s="1"/>
  <c r="H101" i="6"/>
  <c r="H123" i="6"/>
  <c r="H128" i="6" s="1"/>
  <c r="H159" i="6"/>
  <c r="H160" i="6" s="1"/>
  <c r="H174" i="6"/>
  <c r="H175" i="6" s="1"/>
  <c r="H221" i="6"/>
  <c r="H262" i="6"/>
  <c r="H264" i="6" s="1"/>
  <c r="C305" i="6"/>
  <c r="D334" i="6"/>
  <c r="H319" i="6"/>
  <c r="H325" i="6"/>
  <c r="H332" i="6"/>
  <c r="H338" i="6"/>
  <c r="H339" i="6" s="1"/>
  <c r="C377" i="6"/>
  <c r="D388" i="6"/>
  <c r="H387" i="6"/>
  <c r="C388" i="6"/>
  <c r="H414" i="6"/>
  <c r="H417" i="6" s="1"/>
  <c r="E454" i="6"/>
  <c r="G454" i="6"/>
  <c r="E526" i="6"/>
  <c r="H354" i="6"/>
  <c r="H357" i="6" s="1"/>
  <c r="H401" i="6"/>
  <c r="H406" i="6"/>
  <c r="H425" i="6"/>
  <c r="H432" i="6" s="1"/>
  <c r="D509" i="6"/>
  <c r="F509" i="6"/>
  <c r="E525" i="6"/>
  <c r="H399" i="6"/>
  <c r="H438" i="6"/>
  <c r="H388" i="6" l="1"/>
  <c r="H448" i="6"/>
  <c r="H454" i="6" s="1"/>
  <c r="H237" i="6"/>
  <c r="H108" i="6"/>
  <c r="H351" i="6"/>
  <c r="H295" i="6"/>
  <c r="H270" i="6"/>
  <c r="H247" i="6"/>
  <c r="H206" i="6"/>
  <c r="C393" i="6"/>
  <c r="D393" i="6"/>
  <c r="H280" i="6"/>
  <c r="H207" i="6"/>
  <c r="D207" i="6"/>
  <c r="H15" i="6"/>
  <c r="G341" i="6"/>
  <c r="G353" i="6" s="1"/>
  <c r="G359" i="6" s="1"/>
  <c r="G379" i="6" s="1"/>
  <c r="G390" i="6" s="1"/>
  <c r="G398" i="6" s="1"/>
  <c r="G413" i="6" s="1"/>
  <c r="G422" i="6" s="1"/>
  <c r="G437" i="6" s="1"/>
  <c r="G450" i="6" s="1"/>
  <c r="G459" i="6" s="1"/>
  <c r="G336" i="6"/>
  <c r="H408" i="6"/>
  <c r="H334" i="6"/>
  <c r="H393" i="6" s="1"/>
  <c r="H296" i="6" l="1"/>
</calcChain>
</file>

<file path=xl/sharedStrings.xml><?xml version="1.0" encoding="utf-8"?>
<sst xmlns="http://schemas.openxmlformats.org/spreadsheetml/2006/main" count="904" uniqueCount="408">
  <si>
    <t>GOBIERNO MUNICIPAL DE AYOTLÁN, JALISCO</t>
  </si>
  <si>
    <t>ADMINISTRACIÓN 2021-2024</t>
  </si>
  <si>
    <t>Nómina que corresponde a la 1ra.   (PRIMER     ) quincena del mes de JUNIO de 2023.</t>
  </si>
  <si>
    <t>NOMBRE</t>
  </si>
  <si>
    <t>PUESTO</t>
  </si>
  <si>
    <t>SUELDO</t>
  </si>
  <si>
    <t>RETENCION</t>
  </si>
  <si>
    <t>S.E.</t>
  </si>
  <si>
    <t>APOYO ALIMENTO</t>
  </si>
  <si>
    <t>COMPENSACIONES</t>
  </si>
  <si>
    <t>SUELDO NETO</t>
  </si>
  <si>
    <t xml:space="preserve">J.Refugio Cazares Padilla </t>
  </si>
  <si>
    <t>Regidor.</t>
  </si>
  <si>
    <t xml:space="preserve"> </t>
  </si>
  <si>
    <t xml:space="preserve">Laura Janeth Vargas Vazquez </t>
  </si>
  <si>
    <t xml:space="preserve">Elizabeth Magdalena Mancilla Vargas </t>
  </si>
  <si>
    <t xml:space="preserve">Eduardo Estrada Romero </t>
  </si>
  <si>
    <t xml:space="preserve">Regidor </t>
  </si>
  <si>
    <t>Jose Guadalupe Mares Garcia</t>
  </si>
  <si>
    <t xml:space="preserve">Guillermo Rodriguez Escoto </t>
  </si>
  <si>
    <t xml:space="preserve">Nanci Eulalia Hernandez Bermudez </t>
  </si>
  <si>
    <t xml:space="preserve">Maria del Carmen Gonzalez Mendez </t>
  </si>
  <si>
    <t xml:space="preserve">Claudio Gaitan Garcia </t>
  </si>
  <si>
    <t>TOTAL</t>
  </si>
  <si>
    <t xml:space="preserve">Rodolfo Hernandez Sanchez </t>
  </si>
  <si>
    <t>Presidente.</t>
  </si>
  <si>
    <t xml:space="preserve">Claudia Ibet Ayala Razo </t>
  </si>
  <si>
    <t>Secretaria</t>
  </si>
  <si>
    <t>Vicente Velazquez Camarena</t>
  </si>
  <si>
    <t>Secretario atencion ciudadana</t>
  </si>
  <si>
    <t xml:space="preserve">Jose Alberto Saavedra Martinez </t>
  </si>
  <si>
    <t>Secretario General</t>
  </si>
  <si>
    <t>Rocio Patricia Chávez Ortiz.</t>
  </si>
  <si>
    <t>Secretaria.</t>
  </si>
  <si>
    <t xml:space="preserve">Perlita Grosdana Rodriguez Castillo </t>
  </si>
  <si>
    <t>Sindico</t>
  </si>
  <si>
    <t xml:space="preserve">Francisco Javier  Velasco Tabarez </t>
  </si>
  <si>
    <t>Asesor Jurídico.</t>
  </si>
  <si>
    <t>María Elisabeth Hurtado Villaseñor.</t>
  </si>
  <si>
    <t>4) HACIENDA MUNICIPAL (HM).</t>
  </si>
  <si>
    <t xml:space="preserve">Leidy Elizabeth Alatorre Barajas </t>
  </si>
  <si>
    <t xml:space="preserve">Tesorera </t>
  </si>
  <si>
    <t>HACIENDA MUNICIPAL; DEPARTAMENTO DE EGRESOS.</t>
  </si>
  <si>
    <t>Margarita Limon Sotelo</t>
  </si>
  <si>
    <t>Encargada de Egresos</t>
  </si>
  <si>
    <t>Sandra Borja Hurtado.</t>
  </si>
  <si>
    <t>Auxiliar de Egresos</t>
  </si>
  <si>
    <t>Paulina López Gallegos.</t>
  </si>
  <si>
    <t>Encargado de Bancos</t>
  </si>
  <si>
    <t>Susana Camarena Rizo.</t>
  </si>
  <si>
    <t>Auxiliar de bancos</t>
  </si>
  <si>
    <t>TOTAL DEPARTAMENTO.</t>
  </si>
  <si>
    <t>María Cristina Alvarado Álvarez.</t>
  </si>
  <si>
    <t>Secretaria de Ingresos.</t>
  </si>
  <si>
    <t>Jose Manuel Caloca Cruz</t>
  </si>
  <si>
    <t>Encargado de Despacho</t>
  </si>
  <si>
    <t>Director de Auditoria y Revision Hacendaria</t>
  </si>
  <si>
    <t>Directora de Investigacion</t>
  </si>
  <si>
    <t xml:space="preserve">Juan Marquez Dueñas </t>
  </si>
  <si>
    <t xml:space="preserve">Jefe de Area </t>
  </si>
  <si>
    <t xml:space="preserve">Raziel Husai Gonzalez Hernandez </t>
  </si>
  <si>
    <t>Auxiliar Administrativo.</t>
  </si>
  <si>
    <t xml:space="preserve">NOMBRE </t>
  </si>
  <si>
    <t>Jose de Jesus Hurtado Cardenas</t>
  </si>
  <si>
    <t>Inspector</t>
  </si>
  <si>
    <t xml:space="preserve">Soledad Cardenas Morales </t>
  </si>
  <si>
    <t>Directora</t>
  </si>
  <si>
    <t xml:space="preserve">Ernesto Alfonso Padilla Ruiz Velasco </t>
  </si>
  <si>
    <t>Director</t>
  </si>
  <si>
    <t xml:space="preserve">Abraham Garcia Castillo </t>
  </si>
  <si>
    <t>Sallym Morales Serratos.</t>
  </si>
  <si>
    <t>Jesús Rodríguez Castellanos.</t>
  </si>
  <si>
    <t>Samuel Robles Zendejas</t>
  </si>
  <si>
    <t>Nadia Elizabeth Casillas Lara.</t>
  </si>
  <si>
    <t>Fernando López Mayén.</t>
  </si>
  <si>
    <t>Encargado de Egresos</t>
  </si>
  <si>
    <t xml:space="preserve">Ramiro Marez Ramirez </t>
  </si>
  <si>
    <t>Agustin Mendez Morales</t>
  </si>
  <si>
    <t>Auxiliar  administrativa comunicación social</t>
  </si>
  <si>
    <t xml:space="preserve">Mariana Arambula Alatorre </t>
  </si>
  <si>
    <t>Juan Carlos Hurtado Escoto</t>
  </si>
  <si>
    <t>Secretario Casa de la Cultura</t>
  </si>
  <si>
    <t>Mariano Enrique Zarate Rizo.</t>
  </si>
  <si>
    <t>Intendente.</t>
  </si>
  <si>
    <t>Jose de Jesus Huerta Cardenas</t>
  </si>
  <si>
    <t>Instructos de Banda de Guerra</t>
  </si>
  <si>
    <t>Ma. Del Refugio Llamas Parada.</t>
  </si>
  <si>
    <t xml:space="preserve">Ana Isabel Gonzalez Lara </t>
  </si>
  <si>
    <t>Román Rafael Medina Vázquez.</t>
  </si>
  <si>
    <t>Promotor Deportivo</t>
  </si>
  <si>
    <t xml:space="preserve">Juan Gallegos Barron </t>
  </si>
  <si>
    <t xml:space="preserve">Gustavo Zarate Alvarez </t>
  </si>
  <si>
    <t>Mantenimiento Estadio Municipal</t>
  </si>
  <si>
    <t xml:space="preserve">Juana Cruz Comparan </t>
  </si>
  <si>
    <t>Intendente Unidad deportiva</t>
  </si>
  <si>
    <t>Jose Martin Trejo Arambula</t>
  </si>
  <si>
    <t xml:space="preserve">Odelinda Covarrubias Estrada </t>
  </si>
  <si>
    <t xml:space="preserve">Iris Deni Chavez Balderas </t>
  </si>
  <si>
    <t>Auxiliar administrativo</t>
  </si>
  <si>
    <t>Ignacio Trujillo Villalpando.</t>
  </si>
  <si>
    <t>Chofer escolar.</t>
  </si>
  <si>
    <t>Alonso Navarrete Serratos.</t>
  </si>
  <si>
    <t>Sergio Fernando Navarrete Serratos.</t>
  </si>
  <si>
    <t>Jaime Alejandro Davalos Robles.</t>
  </si>
  <si>
    <t>Chofer escolar del CAM.</t>
  </si>
  <si>
    <t>Alejandro Barrera Hernández.</t>
  </si>
  <si>
    <t>Porfirio Rocha Escoto</t>
  </si>
  <si>
    <t xml:space="preserve">Esperanza Garcia Vazquez </t>
  </si>
  <si>
    <t>Edith Hernandez Gonzalez</t>
  </si>
  <si>
    <t xml:space="preserve">Miguel Angel Rodriguez Muñiz </t>
  </si>
  <si>
    <t>Juan Carlos Martinez Loza</t>
  </si>
  <si>
    <t>Elizabeth Ramírez Ramírez.</t>
  </si>
  <si>
    <t>Yessica Maricela Ramírez Ramírez.</t>
  </si>
  <si>
    <t>Ramiro Rosas Nuñez.</t>
  </si>
  <si>
    <t>Auxiliar Técnico.</t>
  </si>
  <si>
    <t>Juan Pablo Cárdenas Rivera.</t>
  </si>
  <si>
    <t>OBRAS PÚBLICAS; DEPARTAMENTO MODULO DE MAQUINARIA.</t>
  </si>
  <si>
    <t>Javier Hernandez Vargas</t>
  </si>
  <si>
    <t>Jefe de Dpto. Modulo de Maquinaria.</t>
  </si>
  <si>
    <t>Miguel Ángel Quintana Medina.</t>
  </si>
  <si>
    <t>Chofer.</t>
  </si>
  <si>
    <t>Miguel Trejo Arámbula.</t>
  </si>
  <si>
    <t>Operador.</t>
  </si>
  <si>
    <t>Alfredo González Rodríguez.</t>
  </si>
  <si>
    <t>Luis Alberto Mora Ruiz</t>
  </si>
  <si>
    <t>Israel Molina Flores</t>
  </si>
  <si>
    <t>Ignacio Aceves Hernandez</t>
  </si>
  <si>
    <t>Chofer</t>
  </si>
  <si>
    <t>Juan Antonio Guzman Soto</t>
  </si>
  <si>
    <t>Jose de Jesus Medina Banda</t>
  </si>
  <si>
    <t>Fidel Cortes Garibay.</t>
  </si>
  <si>
    <t>Operador</t>
  </si>
  <si>
    <t xml:space="preserve">Martha Nayeli Serratos Quiroz </t>
  </si>
  <si>
    <t>Diego Adrian Camacho Arambula</t>
  </si>
  <si>
    <t>Aux Administrativo</t>
  </si>
  <si>
    <t>22) DIRECCIÓN DE PROTECCIÓN CIVIL (PC).</t>
  </si>
  <si>
    <t xml:space="preserve">Fernando Guzman Barrera </t>
  </si>
  <si>
    <t>José Manuel Zarate Romero.</t>
  </si>
  <si>
    <t>Primer comandante</t>
  </si>
  <si>
    <t>Rafael Tabarez Castillo.</t>
  </si>
  <si>
    <t>1° Oficial. (A)</t>
  </si>
  <si>
    <t>Marco Antonio Rodríguez Zarate.</t>
  </si>
  <si>
    <t>1° Oficial. (B)</t>
  </si>
  <si>
    <t>José Israel de la Cruz Ramírez.</t>
  </si>
  <si>
    <t>2° Oficial. (B)</t>
  </si>
  <si>
    <t>María Guadalupe Palafox Silva.</t>
  </si>
  <si>
    <t>3° Oficial. (A)</t>
  </si>
  <si>
    <t>Sigifredo Lara Lara.</t>
  </si>
  <si>
    <t>3° Oficial. (B)</t>
  </si>
  <si>
    <t>Francisco Javier Rico López.</t>
  </si>
  <si>
    <t>Isabel Rodriguez Vazquez</t>
  </si>
  <si>
    <t>Juan Emmanuel Castillo Castillo</t>
  </si>
  <si>
    <t>Maria Guadalupe Flores Rodriguez</t>
  </si>
  <si>
    <t xml:space="preserve">Maria Soledad Jimenez Isaac </t>
  </si>
  <si>
    <t xml:space="preserve">Jesus Apolonio Murillo </t>
  </si>
  <si>
    <t>Sandra Lizbeth Villalpando Tovar</t>
  </si>
  <si>
    <t>Hector Copado Rizo</t>
  </si>
  <si>
    <t>Chofer Vehiculos de Emergencia</t>
  </si>
  <si>
    <t>Benjamin Apolonio Murillo</t>
  </si>
  <si>
    <t xml:space="preserve">Eduardo Murillo Zendejas </t>
  </si>
  <si>
    <t>Miguel Ángel Escobedo Alatorre.</t>
  </si>
  <si>
    <t>María del Socorro Hernández Andrade.</t>
  </si>
  <si>
    <t>Encargada</t>
  </si>
  <si>
    <t>María Gloria Rodríguez Gacía.</t>
  </si>
  <si>
    <t xml:space="preserve">Daniel Velasco Tabarez </t>
  </si>
  <si>
    <t xml:space="preserve">Oficial </t>
  </si>
  <si>
    <t>Yanireth Ameyalli Sanchez Carrillo</t>
  </si>
  <si>
    <t xml:space="preserve">Auxiliar Administrativo </t>
  </si>
  <si>
    <t>Carmina Yadira Manriquez García.</t>
  </si>
  <si>
    <t>Ana Ruth Lara Delgado</t>
  </si>
  <si>
    <t>Juan Gabriel Rea Álvarez.</t>
  </si>
  <si>
    <t>Comandante.</t>
  </si>
  <si>
    <t>Abel González Tovar.</t>
  </si>
  <si>
    <t>Teniente.</t>
  </si>
  <si>
    <t>Carlos González Vargas.</t>
  </si>
  <si>
    <t>Christian Adrian Gomez Mojica</t>
  </si>
  <si>
    <t>TOTAL POR GRADO.</t>
  </si>
  <si>
    <t>Javier Navarro Camarena.</t>
  </si>
  <si>
    <t>Primera.</t>
  </si>
  <si>
    <t>Carlos Banda Álvarez.</t>
  </si>
  <si>
    <t>Gerardo López Vázquez.</t>
  </si>
  <si>
    <t>Rogelio García Díaz.</t>
  </si>
  <si>
    <t>Cruz Augusto Ramirez Mulgado</t>
  </si>
  <si>
    <t>Linea.</t>
  </si>
  <si>
    <t>Alex Ivan Salcedo Montes</t>
  </si>
  <si>
    <t>Julia Erendira García Barajas.</t>
  </si>
  <si>
    <t>Ramón Gómez Sotelo.</t>
  </si>
  <si>
    <t>Juan Hernández Zuñiga.</t>
  </si>
  <si>
    <t>Miguel Angel Saldaña Luviano</t>
  </si>
  <si>
    <t xml:space="preserve">Jose Daniel Benitez Perez </t>
  </si>
  <si>
    <t>Cesar Bravo Ramirez</t>
  </si>
  <si>
    <t xml:space="preserve">Arturo Javier Redrujo Gonzalez </t>
  </si>
  <si>
    <t>Jose Manuel Alvarado Rivera</t>
  </si>
  <si>
    <t>Jose de Jesus Rizo Garcia</t>
  </si>
  <si>
    <t>Juan Manuel Tovar Dominguez</t>
  </si>
  <si>
    <t>David Guadalupe Perez Lopez</t>
  </si>
  <si>
    <t>Alonzo Ramirez Mulgado</t>
  </si>
  <si>
    <t>TOTAL DIRECCIÓN.</t>
  </si>
  <si>
    <t>Hector Samuel Rodriguez Rodriguez</t>
  </si>
  <si>
    <t>Medico</t>
  </si>
  <si>
    <t>Adriana Lizeth Marquez Quintero</t>
  </si>
  <si>
    <t>José Miguel Márquez Navarro.</t>
  </si>
  <si>
    <t>J. Jesús Ochoa Arías.</t>
  </si>
  <si>
    <t xml:space="preserve">Carlos Mauricio Acosta Garcia </t>
  </si>
  <si>
    <t>Jefe de Mecanicos</t>
  </si>
  <si>
    <t>Carina Soto González.</t>
  </si>
  <si>
    <t xml:space="preserve">Secretaria </t>
  </si>
  <si>
    <t>Francisco Javier Jauregui Morales</t>
  </si>
  <si>
    <t>Encargado de Cuadrillas</t>
  </si>
  <si>
    <t>María Virginia Neri Ascencio.</t>
  </si>
  <si>
    <t>Intendencia.</t>
  </si>
  <si>
    <t xml:space="preserve">Angelica Maria Camarena Salazar </t>
  </si>
  <si>
    <t>Gustavo Oblea Martínez.</t>
  </si>
  <si>
    <t>Mantenimiento general.</t>
  </si>
  <si>
    <t>Mauricio Martín Casillas Marrón.</t>
  </si>
  <si>
    <t>Auxiliar.</t>
  </si>
  <si>
    <t>José Gerardo López Pérez.</t>
  </si>
  <si>
    <t xml:space="preserve">Mantenimiento </t>
  </si>
  <si>
    <t>Jose Patiño Ascencio</t>
  </si>
  <si>
    <t>Mantenimiento</t>
  </si>
  <si>
    <t>Jose de Jesus Arellano Moreno</t>
  </si>
  <si>
    <t>Ernesto Rizo Rodriguez</t>
  </si>
  <si>
    <t>Fortino Leon Sierra</t>
  </si>
  <si>
    <t>Manuel Ramírez García.</t>
  </si>
  <si>
    <t>Eduardo Machuca Arellano</t>
  </si>
  <si>
    <t xml:space="preserve">Erick Salvador Conchas Garcia </t>
  </si>
  <si>
    <t>Javier Lemus Lemus.</t>
  </si>
  <si>
    <t>Auxiliar de alumbrado.</t>
  </si>
  <si>
    <t>Juan José Zarate Martínez.</t>
  </si>
  <si>
    <t>Encargado de cuadrilla.</t>
  </si>
  <si>
    <t>Erika Rodarte Zarate</t>
  </si>
  <si>
    <t>Alejandro Urtiz Martínez.</t>
  </si>
  <si>
    <t>Fontanero.</t>
  </si>
  <si>
    <t>José de Jesús Pérez Aguilar.</t>
  </si>
  <si>
    <t>Antonio García Medina.</t>
  </si>
  <si>
    <t>Gerardo Zarate Martínez.</t>
  </si>
  <si>
    <t>Mauricio Urtiz Martinez</t>
  </si>
  <si>
    <t>Albañil de Mantenimiento</t>
  </si>
  <si>
    <t>Ricardo Hernandez Trujillo</t>
  </si>
  <si>
    <t xml:space="preserve">Alfredo Trejo Banda </t>
  </si>
  <si>
    <t xml:space="preserve">Encargado de pozo </t>
  </si>
  <si>
    <t>J. Jesus Guillemin Rubio</t>
  </si>
  <si>
    <t>Administrador del Rastro.</t>
  </si>
  <si>
    <t>Eduardo Villalpando Parada.</t>
  </si>
  <si>
    <t>Sellador.</t>
  </si>
  <si>
    <t>Sarvelio Loy Rodríguez.</t>
  </si>
  <si>
    <t>Velador.</t>
  </si>
  <si>
    <t>José Guadalupe Pérez Morales.</t>
  </si>
  <si>
    <t>Aseador.</t>
  </si>
  <si>
    <t xml:space="preserve">  </t>
  </si>
  <si>
    <t>Salvador Ruíz González.</t>
  </si>
  <si>
    <t>Jesús Salvador Zarate Villalpando.</t>
  </si>
  <si>
    <t>Juan Martín Bermúdez Díaz.</t>
  </si>
  <si>
    <t>Francisco Jaramillo Salazar.</t>
  </si>
  <si>
    <t>Jesús Salas Castro.</t>
  </si>
  <si>
    <t>Gustavo Mendez Zarate</t>
  </si>
  <si>
    <t>José Juan Camarena Moreno.</t>
  </si>
  <si>
    <t>Chofer Aseador.</t>
  </si>
  <si>
    <t>Héctor Huerta Gutiérrez.</t>
  </si>
  <si>
    <t>Aseador de la Plaza.</t>
  </si>
  <si>
    <t>Miguel Corona Jiménez.</t>
  </si>
  <si>
    <t>José Luis Neri Ascencio.</t>
  </si>
  <si>
    <t>Francisco Corona Flores.</t>
  </si>
  <si>
    <t>Chofer vertedero.</t>
  </si>
  <si>
    <t>Adan Perez Morales</t>
  </si>
  <si>
    <t>Jorge Alberto Llamas Parada</t>
  </si>
  <si>
    <t>Adrian Roberto Lopez Parada</t>
  </si>
  <si>
    <t>Aseador</t>
  </si>
  <si>
    <t>Juan Pablo Solis Rizo</t>
  </si>
  <si>
    <t>Alejandro Romo Flores</t>
  </si>
  <si>
    <t>Rubén Mendoza Falcón.</t>
  </si>
  <si>
    <t>Encargado de cuadrilla 1.</t>
  </si>
  <si>
    <t>Trinidad Guadalupe Hernández Alvarado.</t>
  </si>
  <si>
    <t>Jardinero.</t>
  </si>
  <si>
    <t>David Orozco Sepúlveda.</t>
  </si>
  <si>
    <t>Francisco Zarate López.</t>
  </si>
  <si>
    <t>Mantenimiento Cienega de Tlaxcala.</t>
  </si>
  <si>
    <t>J. Jesús Bravo Martínez.</t>
  </si>
  <si>
    <t>Jardinero de la Plaza.</t>
  </si>
  <si>
    <t>Gerardo Cervantes Galindo.</t>
  </si>
  <si>
    <t>Rafael Donosa Guzman</t>
  </si>
  <si>
    <t>Jose de Jesus Arellano Medina</t>
  </si>
  <si>
    <t>Jefe de Albañiles</t>
  </si>
  <si>
    <t>Roberto Trujillo Villalpando.</t>
  </si>
  <si>
    <t>Velador del mercado.</t>
  </si>
  <si>
    <t>TOTAL DE DIRECCIÓN.</t>
  </si>
  <si>
    <t>32) DIRECCIÓN DE TRÁNSITO MUNICIPAL (TR).</t>
  </si>
  <si>
    <t>Lisandro Trejo Morales</t>
  </si>
  <si>
    <t>Policía Vial.</t>
  </si>
  <si>
    <t>Jorge Alberto Navarro Gaytan</t>
  </si>
  <si>
    <t>Joel Aguilar Zabalza</t>
  </si>
  <si>
    <t xml:space="preserve">Jesus Antonio Ibarra Lopez </t>
  </si>
  <si>
    <t>Jose Ramon Mendoza Rojo</t>
  </si>
  <si>
    <t xml:space="preserve">Policia Vial </t>
  </si>
  <si>
    <t>Set Elias Mares Saavedra</t>
  </si>
  <si>
    <t>Policia Vial</t>
  </si>
  <si>
    <t>Rigo Alvarado Guzmán.</t>
  </si>
  <si>
    <t>José Luis Fuentes Hernández.</t>
  </si>
  <si>
    <t xml:space="preserve">Maria Guadalupe Garcia Echeverria </t>
  </si>
  <si>
    <t xml:space="preserve">Ariana Alejandra Hernandez Zendejas </t>
  </si>
  <si>
    <t>Delegada</t>
  </si>
  <si>
    <t>Esveide Flores de Orta.</t>
  </si>
  <si>
    <t>Chofer de Aseo Público.</t>
  </si>
  <si>
    <t>Gerardo Cervantes Hernandez</t>
  </si>
  <si>
    <t>Encargado de Aseo y Jardines Plaza</t>
  </si>
  <si>
    <t>Juan Carlos Rojo Alatorre</t>
  </si>
  <si>
    <t xml:space="preserve">Encargado de Despacho </t>
  </si>
  <si>
    <t>Diana Grecia Flores Ballesteros.</t>
  </si>
  <si>
    <t>Secretaria de Agua Potable.</t>
  </si>
  <si>
    <t>Ma. Cristina Guzmán García.</t>
  </si>
  <si>
    <t>Oficial del Registro Civil.</t>
  </si>
  <si>
    <t>Gustavo Hernández García.</t>
  </si>
  <si>
    <t>Juan Manuel Rojo Hernández.</t>
  </si>
  <si>
    <t>Juan Mares Rojo.</t>
  </si>
  <si>
    <t>Rubén García Guzmán.</t>
  </si>
  <si>
    <t>Administrador del Cementerio.</t>
  </si>
  <si>
    <t>Ismael Méndez López.</t>
  </si>
  <si>
    <t>Jose de Jesus Rojo Hernandez</t>
  </si>
  <si>
    <t xml:space="preserve">Jose Alvarez Quintero </t>
  </si>
  <si>
    <t>Delegado</t>
  </si>
  <si>
    <t>J. Jesús Rodríguez González.</t>
  </si>
  <si>
    <t>Nancy Jackelin Arias Murillo</t>
  </si>
  <si>
    <t>Secretaria delegacion  la Ribera</t>
  </si>
  <si>
    <t>José Antonio Zendejas Rodríguez.</t>
  </si>
  <si>
    <t>José Manuel Zendejas Rodríguez.</t>
  </si>
  <si>
    <t>Juan José Macías Ramírez.</t>
  </si>
  <si>
    <t>Rigoberto Rodríguez Murillo.</t>
  </si>
  <si>
    <t>Agua Potable.</t>
  </si>
  <si>
    <t>Juan Enrique Mojica Valadez.</t>
  </si>
  <si>
    <t>Encargado Cementerio La Ribera.</t>
  </si>
  <si>
    <t>Javier Valadez Zaragoza</t>
  </si>
  <si>
    <t>Jrdinero</t>
  </si>
  <si>
    <t>Nóe Alvizar Huerta.</t>
  </si>
  <si>
    <t>TOTAL DEL.</t>
  </si>
  <si>
    <t>Ma. Dolores Rizo Vazquez</t>
  </si>
  <si>
    <t>Encargada de CDC</t>
  </si>
  <si>
    <t>Refugio Cisneros Melendrez.</t>
  </si>
  <si>
    <t xml:space="preserve">Aseador </t>
  </si>
  <si>
    <t>TOTAL CDC</t>
  </si>
  <si>
    <t>TOTAL DELEGACIÓN.</t>
  </si>
  <si>
    <t>Celina Macias Mares.</t>
  </si>
  <si>
    <t>Pensionado.</t>
  </si>
  <si>
    <t>M. de Jesús Tabarez Castillo.</t>
  </si>
  <si>
    <t>Clementina Hurtado Aviña.</t>
  </si>
  <si>
    <t>Bernardo Olmos López.</t>
  </si>
  <si>
    <t>Porfiria Briseño Valadez.</t>
  </si>
  <si>
    <t>Raúl Ornelas Martínez.</t>
  </si>
  <si>
    <t>José Luis Neri Briseño.</t>
  </si>
  <si>
    <t>Juan José Villalpando Parada.</t>
  </si>
  <si>
    <t>J. Trinidad Pérez Florido.</t>
  </si>
  <si>
    <t>Felipe Avalos Hernández.</t>
  </si>
  <si>
    <t>José María Camarena Lara.</t>
  </si>
  <si>
    <t>Ismael Martínez Ocegueda.</t>
  </si>
  <si>
    <t>Ma. Refugio Ascencio Herrera.</t>
  </si>
  <si>
    <t>Antonio Padilla Barrón.</t>
  </si>
  <si>
    <t>Salvador Rodríguez Zaragoza.</t>
  </si>
  <si>
    <t>Juan Lemus García.</t>
  </si>
  <si>
    <t>Elvira Jiménez González.</t>
  </si>
  <si>
    <t>Roberto Pérez Florido.</t>
  </si>
  <si>
    <t>José García Cordova.</t>
  </si>
  <si>
    <t>Pensionado</t>
  </si>
  <si>
    <t>Ma. Guadalupe Martinez Mora</t>
  </si>
  <si>
    <t>Juan Martín Barrera Melgoza.</t>
  </si>
  <si>
    <t>Juan José Ocegueda Martínez.</t>
  </si>
  <si>
    <t>pensionado</t>
  </si>
  <si>
    <t>Miguel García Gutiérrez.</t>
  </si>
  <si>
    <t>Ramón Rodríguez Negrete.</t>
  </si>
  <si>
    <t>Pedro Falcón García.</t>
  </si>
  <si>
    <t>Francisco Zarate Castillo.</t>
  </si>
  <si>
    <t>J Jesus Leon Lopez</t>
  </si>
  <si>
    <t>Gerardo Banda Gonzalez</t>
  </si>
  <si>
    <t>Rigoberto Torres Zendejas.</t>
  </si>
  <si>
    <t>José Castillo García.</t>
  </si>
  <si>
    <t xml:space="preserve">Juan Ricardo Barcenas Zaragoza </t>
  </si>
  <si>
    <t xml:space="preserve">Pensionado </t>
  </si>
  <si>
    <t xml:space="preserve">Javier Diaz Cuevas </t>
  </si>
  <si>
    <t xml:space="preserve">Ismale Rojo Garcia </t>
  </si>
  <si>
    <t xml:space="preserve">Juan Hurtado Delgado </t>
  </si>
  <si>
    <t xml:space="preserve">Martin Medina Ascencio </t>
  </si>
  <si>
    <t>Hilda Mireya Barcenas Zaragoza.</t>
  </si>
  <si>
    <t>Pensionada</t>
  </si>
  <si>
    <t>Angelina DeOrta Camacho</t>
  </si>
  <si>
    <t>Celia  Garcia Reynoso</t>
  </si>
  <si>
    <t xml:space="preserve">Gabriela Sotelo Valadez </t>
  </si>
  <si>
    <t>TOTAL PENSIONADOS.</t>
  </si>
  <si>
    <t>Martha Rivas Mendoza</t>
  </si>
  <si>
    <t>Pensionado. (SP)</t>
  </si>
  <si>
    <t>Eva Trejo Coronado.</t>
  </si>
  <si>
    <t>Leticia Juárez Huichapa.</t>
  </si>
  <si>
    <t>J. Verenice Ascencio Martínez.</t>
  </si>
  <si>
    <t>Esmeralda Ángel Moreno.</t>
  </si>
  <si>
    <t>Lourdes Garcia Esquivel</t>
  </si>
  <si>
    <t xml:space="preserve">Eduardo Barron Rodriguez </t>
  </si>
  <si>
    <t>Pensionado     (SP)</t>
  </si>
  <si>
    <t>TOTAL PENSIONADOS (SP).</t>
  </si>
  <si>
    <t>TOTAL GRAL. PENSIONADOS.</t>
  </si>
  <si>
    <t>Juana Fabiola Ramírez Bravo.</t>
  </si>
  <si>
    <t>Niñera CAM.</t>
  </si>
  <si>
    <t>TOTALES GENERALES DE:</t>
  </si>
  <si>
    <t>Comprobación.</t>
  </si>
  <si>
    <t>SUELDOS:</t>
  </si>
  <si>
    <t>RETENCIONES:</t>
  </si>
  <si>
    <t>TOTAL GENERAL DE:</t>
  </si>
  <si>
    <t>EMPLEADOS.</t>
  </si>
  <si>
    <t>APOYO ALIMENTO:</t>
  </si>
  <si>
    <t>HOMBRES.</t>
  </si>
  <si>
    <t>MUJERES.</t>
  </si>
  <si>
    <t>SUELDO NETO: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</si>
</sst>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"/>
    <numFmt numFmtId="166" formatCode="_(* #,##0.00_);_(* \(#,##0.00\);_(* &quot;-&quot;??_);_(@_)"/>
    <numFmt numFmtId="167" formatCode="_-* #,##0.00\ &quot;€&quot;_-;\-* #,##0.00\ &quot;€&quot;_-;_-* &quot;-&quot;??\ &quot;€&quot;_-;_-@_-"/>
  </numFmts>
  <fonts count="63">
    <font>
      <sz val="10"/>
      <name val="Arial"/>
      <charset val="134"/>
    </font>
    <font>
      <sz val="10"/>
      <name val="Bookman Old Style"/>
      <charset val="134"/>
    </font>
    <font>
      <sz val="10"/>
      <name val="Arial"/>
      <charset val="134"/>
    </font>
    <font>
      <b/>
      <sz val="10"/>
      <color theme="9" tint="-0.249977111117893"/>
      <name val="Arial"/>
      <charset val="134"/>
    </font>
    <font>
      <sz val="10"/>
      <color theme="1"/>
      <name val="Arial"/>
      <charset val="134"/>
    </font>
    <font>
      <sz val="10"/>
      <color indexed="8"/>
      <name val="Arial"/>
      <charset val="134"/>
    </font>
    <font>
      <b/>
      <sz val="10"/>
      <name val="Arial"/>
      <charset val="134"/>
    </font>
    <font>
      <b/>
      <sz val="10"/>
      <name val="Bookman Old Style"/>
      <charset val="134"/>
    </font>
    <font>
      <b/>
      <sz val="14"/>
      <color rgb="FFFF0000"/>
      <name val="Bookman Old Style"/>
      <charset val="134"/>
    </font>
    <font>
      <sz val="12"/>
      <name val="Arial"/>
      <charset val="134"/>
    </font>
    <font>
      <b/>
      <sz val="10"/>
      <color theme="1" tint="0.499984740745262"/>
      <name val="Bookman Old Style"/>
      <charset val="134"/>
    </font>
    <font>
      <b/>
      <sz val="14"/>
      <color theme="9" tint="-0.249977111117893"/>
      <name val="Bookman Old Style"/>
      <charset val="134"/>
    </font>
    <font>
      <b/>
      <sz val="12"/>
      <color theme="9" tint="-0.249977111117893"/>
      <name val="Arial"/>
      <charset val="134"/>
    </font>
    <font>
      <sz val="14"/>
      <color theme="1"/>
      <name val="Arial"/>
      <charset val="134"/>
    </font>
    <font>
      <b/>
      <sz val="12"/>
      <name val="Arial"/>
      <charset val="134"/>
    </font>
    <font>
      <b/>
      <sz val="12"/>
      <color rgb="FF7030A0"/>
      <name val="Arial"/>
      <charset val="134"/>
    </font>
    <font>
      <b/>
      <sz val="12"/>
      <color indexed="8"/>
      <name val="Arial"/>
      <charset val="134"/>
    </font>
    <font>
      <b/>
      <sz val="10"/>
      <color theme="9" tint="-0.249977111117893"/>
      <name val="Bookman Old Style"/>
      <charset val="134"/>
    </font>
    <font>
      <b/>
      <sz val="6"/>
      <color theme="9" tint="-0.249977111117893"/>
      <name val="Arial"/>
      <charset val="134"/>
    </font>
    <font>
      <b/>
      <sz val="10"/>
      <color rgb="FF7030A0"/>
      <name val="Arial"/>
      <charset val="134"/>
    </font>
    <font>
      <sz val="14"/>
      <name val="Arial"/>
      <charset val="134"/>
    </font>
    <font>
      <b/>
      <sz val="6"/>
      <name val="Arial"/>
      <charset val="134"/>
    </font>
    <font>
      <b/>
      <sz val="6"/>
      <color theme="2" tint="-0.89996032593768116"/>
      <name val="Arial"/>
      <charset val="134"/>
    </font>
    <font>
      <b/>
      <sz val="6"/>
      <name val="Bookman Old Style"/>
      <charset val="134"/>
    </font>
    <font>
      <b/>
      <sz val="10"/>
      <color theme="1" tint="0.34998626667073579"/>
      <name val="Bookman Old Style"/>
      <charset val="134"/>
    </font>
    <font>
      <b/>
      <sz val="6"/>
      <color theme="1" tint="0.34998626667073579"/>
      <name val="Bookman Old Style"/>
      <charset val="134"/>
    </font>
    <font>
      <b/>
      <sz val="6"/>
      <color theme="9" tint="-0.249977111117893"/>
      <name val="Bookman Old Style"/>
      <charset val="134"/>
    </font>
    <font>
      <sz val="6"/>
      <name val="Arial"/>
      <charset val="134"/>
    </font>
    <font>
      <b/>
      <sz val="6"/>
      <color rgb="FFFF0000"/>
      <name val="Bookman Old Style"/>
      <charset val="134"/>
    </font>
    <font>
      <b/>
      <sz val="6"/>
      <color theme="1" tint="0.499984740745262"/>
      <name val="Bookman Old Style"/>
      <charset val="134"/>
    </font>
    <font>
      <b/>
      <sz val="12"/>
      <color theme="1" tint="0.34998626667073579"/>
      <name val="Arial"/>
      <charset val="134"/>
    </font>
    <font>
      <b/>
      <sz val="6"/>
      <color theme="1" tint="0.14996795556505021"/>
      <name val="Arial"/>
      <charset val="134"/>
    </font>
    <font>
      <sz val="6"/>
      <color theme="2" tint="-0.89996032593768116"/>
      <name val="Arial"/>
      <charset val="134"/>
    </font>
    <font>
      <sz val="12"/>
      <color indexed="62"/>
      <name val="Arial"/>
      <charset val="134"/>
    </font>
    <font>
      <b/>
      <sz val="10"/>
      <color rgb="FFFF0000"/>
      <name val="Bookman Old Style"/>
      <charset val="134"/>
    </font>
    <font>
      <b/>
      <sz val="10"/>
      <color theme="1" tint="0.34998626667073579"/>
      <name val="Arial"/>
      <charset val="134"/>
    </font>
    <font>
      <b/>
      <sz val="12"/>
      <color indexed="63"/>
      <name val="Arial"/>
      <charset val="134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b/>
      <sz val="10"/>
      <color indexed="63"/>
      <name val="Arial"/>
      <charset val="134"/>
    </font>
    <font>
      <sz val="12"/>
      <color indexed="8"/>
      <name val="Arial"/>
      <charset val="134"/>
    </font>
    <font>
      <sz val="8"/>
      <name val="Arial"/>
      <charset val="134"/>
    </font>
    <font>
      <sz val="14"/>
      <color indexed="8"/>
      <name val="Arial"/>
      <charset val="134"/>
    </font>
    <font>
      <sz val="9"/>
      <name val="Arial"/>
      <charset val="134"/>
    </font>
    <font>
      <b/>
      <sz val="6"/>
      <color theme="1"/>
      <name val="Arial"/>
      <charset val="134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rgb="FF3F3F76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indexed="17"/>
      <name val="Calibri"/>
      <charset val="134"/>
    </font>
    <font>
      <sz val="11"/>
      <color theme="1"/>
      <name val="Calibri"/>
      <charset val="134"/>
      <scheme val="minor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b/>
      <sz val="18"/>
      <color indexed="56"/>
      <name val="Cambria"/>
      <charset val="134"/>
    </font>
    <font>
      <i/>
      <sz val="11"/>
      <color indexed="23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b/>
      <sz val="11"/>
      <color indexed="63"/>
      <name val="Calibri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4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theme="0" tint="-0.14996795556505021"/>
      </top>
      <bottom style="double">
        <color auto="1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rgb="FFFF0000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double">
        <color rgb="FFFF0000"/>
      </top>
      <bottom/>
      <diagonal/>
    </border>
    <border>
      <left style="thin">
        <color theme="9" tint="-0.249977111117893"/>
      </left>
      <right style="thin">
        <color rgb="FF7F7F7F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6" fillId="12" borderId="0" applyNumberFormat="0" applyBorder="0" applyAlignment="0" applyProtection="0"/>
    <xf numFmtId="0" fontId="45" fillId="7" borderId="0" applyNumberFormat="0" applyBorder="0" applyAlignment="0" applyProtection="0"/>
    <xf numFmtId="166" fontId="2" fillId="0" borderId="0" applyFont="0" applyFill="0" applyBorder="0" applyAlignment="0" applyProtection="0"/>
    <xf numFmtId="0" fontId="45" fillId="14" borderId="0" applyNumberFormat="0" applyBorder="0" applyAlignment="0" applyProtection="0"/>
    <xf numFmtId="0" fontId="47" fillId="10" borderId="31" applyNumberFormat="0" applyAlignment="0" applyProtection="0"/>
    <xf numFmtId="0" fontId="48" fillId="17" borderId="31" applyNumberFormat="0" applyAlignment="0" applyProtection="0"/>
    <xf numFmtId="0" fontId="50" fillId="6" borderId="0" applyNumberFormat="0" applyBorder="0" applyAlignment="0" applyProtection="0"/>
    <xf numFmtId="0" fontId="45" fillId="20" borderId="0" applyNumberFormat="0" applyBorder="0" applyAlignment="0" applyProtection="0"/>
    <xf numFmtId="0" fontId="50" fillId="19" borderId="0" applyNumberFormat="0" applyBorder="0" applyAlignment="0" applyProtection="0"/>
    <xf numFmtId="0" fontId="45" fillId="18" borderId="0" applyNumberFormat="0" applyBorder="0" applyAlignment="0" applyProtection="0"/>
    <xf numFmtId="0" fontId="45" fillId="11" borderId="0" applyNumberFormat="0" applyBorder="0" applyAlignment="0" applyProtection="0"/>
    <xf numFmtId="0" fontId="45" fillId="13" borderId="0" applyNumberFormat="0" applyBorder="0" applyAlignment="0" applyProtection="0"/>
    <xf numFmtId="0" fontId="46" fillId="21" borderId="0" applyNumberFormat="0" applyBorder="0" applyAlignment="0" applyProtection="0"/>
    <xf numFmtId="0" fontId="45" fillId="16" borderId="0" applyNumberFormat="0" applyBorder="0" applyAlignment="0" applyProtection="0"/>
    <xf numFmtId="0" fontId="45" fillId="15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5" fillId="15" borderId="0" applyNumberFormat="0" applyBorder="0" applyAlignment="0" applyProtection="0"/>
    <xf numFmtId="0" fontId="45" fillId="22" borderId="0" applyNumberFormat="0" applyBorder="0" applyAlignment="0" applyProtection="0"/>
    <xf numFmtId="0" fontId="46" fillId="14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9" borderId="0" applyNumberFormat="0" applyBorder="0" applyAlignment="0" applyProtection="0"/>
    <xf numFmtId="0" fontId="51" fillId="18" borderId="0" applyNumberFormat="0" applyBorder="0" applyAlignment="0" applyProtection="0"/>
    <xf numFmtId="0" fontId="52" fillId="30" borderId="32" applyNumberFormat="0" applyAlignment="0" applyProtection="0"/>
    <xf numFmtId="0" fontId="53" fillId="31" borderId="33" applyNumberFormat="0" applyAlignment="0" applyProtection="0"/>
    <xf numFmtId="167" fontId="2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49" fillId="11" borderId="0" applyNumberFormat="0" applyBorder="0" applyAlignment="0" applyProtection="0"/>
    <xf numFmtId="0" fontId="56" fillId="0" borderId="34" applyNumberFormat="0" applyFill="0" applyAlignment="0" applyProtection="0"/>
    <xf numFmtId="0" fontId="57" fillId="0" borderId="35" applyNumberFormat="0" applyFill="0" applyAlignment="0" applyProtection="0"/>
    <xf numFmtId="0" fontId="58" fillId="0" borderId="36" applyNumberFormat="0" applyFill="0" applyAlignment="0" applyProtection="0"/>
    <xf numFmtId="0" fontId="58" fillId="0" borderId="0" applyNumberFormat="0" applyFill="0" applyBorder="0" applyAlignment="0" applyProtection="0"/>
    <xf numFmtId="0" fontId="59" fillId="7" borderId="32" applyNumberFormat="0" applyAlignment="0" applyProtection="0"/>
    <xf numFmtId="0" fontId="60" fillId="0" borderId="37" applyNumberFormat="0" applyFill="0" applyAlignment="0" applyProtection="0"/>
    <xf numFmtId="0" fontId="2" fillId="0" borderId="0"/>
    <xf numFmtId="0" fontId="2" fillId="32" borderId="38" applyNumberFormat="0" applyFont="0" applyAlignment="0" applyProtection="0"/>
    <xf numFmtId="0" fontId="61" fillId="30" borderId="39" applyNumberFormat="0" applyAlignment="0" applyProtection="0"/>
    <xf numFmtId="0" fontId="54" fillId="0" borderId="0" applyNumberFormat="0" applyFill="0" applyBorder="0" applyAlignment="0" applyProtection="0"/>
    <xf numFmtId="0" fontId="62" fillId="0" borderId="0" applyNumberFormat="0" applyFill="0" applyBorder="0" applyAlignment="0" applyProtection="0"/>
  </cellStyleXfs>
  <cellXfs count="300">
    <xf numFmtId="0" fontId="0" fillId="0" borderId="0" xfId="0"/>
    <xf numFmtId="0" fontId="1" fillId="0" borderId="0" xfId="0" applyFont="1" applyFill="1" applyBorder="1"/>
    <xf numFmtId="0" fontId="1" fillId="2" borderId="0" xfId="0" applyFont="1" applyFill="1"/>
    <xf numFmtId="0" fontId="1" fillId="3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4" fontId="6" fillId="0" borderId="0" xfId="0" applyNumberFormat="1" applyFont="1" applyFill="1" applyBorder="1" applyAlignment="1"/>
    <xf numFmtId="165" fontId="1" fillId="0" borderId="0" xfId="0" applyNumberFormat="1" applyFont="1" applyFill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9" fillId="0" borderId="0" xfId="0" applyFont="1" applyFill="1"/>
    <xf numFmtId="0" fontId="14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 vertical="center"/>
    </xf>
    <xf numFmtId="44" fontId="14" fillId="0" borderId="0" xfId="0" applyNumberFormat="1" applyFont="1" applyFill="1" applyBorder="1" applyAlignment="1"/>
    <xf numFmtId="164" fontId="18" fillId="0" borderId="0" xfId="2" applyFont="1" applyFill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0" fontId="9" fillId="0" borderId="0" xfId="0" applyFont="1" applyFill="1" applyAlignment="1">
      <alignment wrapText="1"/>
    </xf>
    <xf numFmtId="164" fontId="22" fillId="0" borderId="0" xfId="2" applyFont="1" applyFill="1"/>
    <xf numFmtId="165" fontId="9" fillId="0" borderId="0" xfId="0" applyNumberFormat="1" applyFont="1" applyFill="1" applyBorder="1" applyAlignment="1">
      <alignment horizontal="center" vertical="center"/>
    </xf>
    <xf numFmtId="165" fontId="14" fillId="5" borderId="9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9" fillId="8" borderId="0" xfId="0" applyFont="1" applyFill="1" applyAlignment="1">
      <alignment horizontal="center" vertical="center"/>
    </xf>
    <xf numFmtId="0" fontId="20" fillId="8" borderId="0" xfId="0" applyFont="1" applyFill="1" applyAlignment="1">
      <alignment horizontal="center" vertical="center" wrapText="1"/>
    </xf>
    <xf numFmtId="165" fontId="9" fillId="8" borderId="0" xfId="0" applyNumberFormat="1" applyFont="1" applyFill="1" applyAlignment="1">
      <alignment horizontal="center" vertical="center"/>
    </xf>
    <xf numFmtId="165" fontId="9" fillId="0" borderId="19" xfId="0" applyNumberFormat="1" applyFont="1" applyFill="1" applyBorder="1" applyAlignment="1">
      <alignment horizontal="center" vertical="center"/>
    </xf>
    <xf numFmtId="0" fontId="9" fillId="5" borderId="0" xfId="0" applyFont="1" applyFill="1" applyAlignment="1">
      <alignment wrapText="1"/>
    </xf>
    <xf numFmtId="165" fontId="14" fillId="5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20" fillId="8" borderId="1" xfId="0" applyFont="1" applyFill="1" applyBorder="1" applyAlignment="1">
      <alignment horizontal="center" vertical="center" wrapText="1"/>
    </xf>
    <xf numFmtId="165" fontId="9" fillId="8" borderId="0" xfId="0" applyNumberFormat="1" applyFont="1" applyFill="1" applyBorder="1" applyAlignment="1">
      <alignment horizontal="center" vertical="center" wrapText="1"/>
    </xf>
    <xf numFmtId="165" fontId="9" fillId="8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Alignment="1">
      <alignment horizontal="center" vertical="center" wrapText="1"/>
    </xf>
    <xf numFmtId="0" fontId="9" fillId="5" borderId="0" xfId="0" applyFont="1" applyFill="1" applyAlignment="1">
      <alignment horizontal="left" vertical="center" wrapText="1"/>
    </xf>
    <xf numFmtId="0" fontId="20" fillId="8" borderId="2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/>
    </xf>
    <xf numFmtId="0" fontId="13" fillId="8" borderId="0" xfId="0" applyFont="1" applyFill="1" applyBorder="1" applyAlignment="1">
      <alignment horizontal="center" vertical="center" wrapText="1"/>
    </xf>
    <xf numFmtId="165" fontId="9" fillId="8" borderId="19" xfId="0" applyNumberFormat="1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 wrapText="1"/>
    </xf>
    <xf numFmtId="165" fontId="9" fillId="0" borderId="0" xfId="0" applyNumberFormat="1" applyFont="1" applyFill="1" applyAlignment="1">
      <alignment horizontal="center" vertical="center"/>
    </xf>
    <xf numFmtId="165" fontId="14" fillId="5" borderId="21" xfId="0" applyNumberFormat="1" applyFont="1" applyFill="1" applyBorder="1" applyAlignment="1">
      <alignment horizontal="right"/>
    </xf>
    <xf numFmtId="165" fontId="14" fillId="5" borderId="0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horizontal="center" vertical="center" wrapText="1"/>
    </xf>
    <xf numFmtId="164" fontId="31" fillId="0" borderId="0" xfId="2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32" fillId="0" borderId="0" xfId="2" applyFont="1" applyFill="1" applyAlignment="1">
      <alignment horizontal="center" vertical="center"/>
    </xf>
    <xf numFmtId="165" fontId="33" fillId="0" borderId="0" xfId="0" applyNumberFormat="1" applyFont="1" applyFill="1" applyBorder="1" applyAlignment="1">
      <alignment horizontal="center" vertical="center"/>
    </xf>
    <xf numFmtId="165" fontId="6" fillId="5" borderId="9" xfId="0" applyNumberFormat="1" applyFont="1" applyFill="1" applyBorder="1" applyAlignment="1">
      <alignment horizontal="center" vertical="center"/>
    </xf>
    <xf numFmtId="165" fontId="21" fillId="5" borderId="9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164" fontId="18" fillId="0" borderId="0" xfId="2" applyFont="1" applyFill="1" applyBorder="1" applyAlignment="1">
      <alignment horizontal="center" vertical="center" wrapText="1"/>
    </xf>
    <xf numFmtId="165" fontId="2" fillId="8" borderId="0" xfId="0" applyNumberFormat="1" applyFont="1" applyFill="1" applyAlignment="1">
      <alignment horizontal="center" vertical="center"/>
    </xf>
    <xf numFmtId="165" fontId="27" fillId="8" borderId="0" xfId="0" applyNumberFormat="1" applyFont="1" applyFill="1" applyAlignment="1">
      <alignment horizontal="center" vertical="center"/>
    </xf>
    <xf numFmtId="165" fontId="27" fillId="0" borderId="0" xfId="0" applyNumberFormat="1" applyFont="1" applyFill="1" applyAlignment="1">
      <alignment horizontal="center" vertical="center"/>
    </xf>
    <xf numFmtId="165" fontId="2" fillId="0" borderId="19" xfId="0" applyNumberFormat="1" applyFont="1" applyFill="1" applyBorder="1" applyAlignment="1">
      <alignment horizontal="center" vertical="center"/>
    </xf>
    <xf numFmtId="165" fontId="27" fillId="0" borderId="19" xfId="0" applyNumberFormat="1" applyFont="1" applyFill="1" applyBorder="1" applyAlignment="1">
      <alignment horizontal="center" vertical="center"/>
    </xf>
    <xf numFmtId="165" fontId="6" fillId="5" borderId="0" xfId="0" applyNumberFormat="1" applyFont="1" applyFill="1" applyAlignment="1">
      <alignment horizontal="center" vertical="center"/>
    </xf>
    <xf numFmtId="165" fontId="21" fillId="5" borderId="0" xfId="0" applyNumberFormat="1" applyFont="1" applyFill="1" applyAlignment="1">
      <alignment horizontal="center" vertical="center"/>
    </xf>
    <xf numFmtId="165" fontId="2" fillId="8" borderId="0" xfId="0" applyNumberFormat="1" applyFont="1" applyFill="1" applyBorder="1" applyAlignment="1">
      <alignment horizontal="center" vertical="center"/>
    </xf>
    <xf numFmtId="165" fontId="27" fillId="8" borderId="0" xfId="0" applyNumberFormat="1" applyFont="1" applyFill="1" applyBorder="1" applyAlignment="1">
      <alignment horizontal="center" vertical="center"/>
    </xf>
    <xf numFmtId="42" fontId="18" fillId="0" borderId="0" xfId="1" applyFont="1" applyFill="1" applyBorder="1" applyAlignment="1">
      <alignment horizontal="center" vertical="center"/>
    </xf>
    <xf numFmtId="165" fontId="14" fillId="0" borderId="0" xfId="0" applyNumberFormat="1" applyFont="1" applyFill="1" applyBorder="1" applyAlignment="1">
      <alignment horizontal="center" vertical="center"/>
    </xf>
    <xf numFmtId="165" fontId="22" fillId="5" borderId="9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164" fontId="22" fillId="0" borderId="0" xfId="2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164" fontId="22" fillId="0" borderId="0" xfId="2" applyFont="1" applyFill="1" applyAlignment="1">
      <alignment horizontal="center" vertical="center"/>
    </xf>
    <xf numFmtId="165" fontId="2" fillId="8" borderId="19" xfId="0" applyNumberFormat="1" applyFont="1" applyFill="1" applyBorder="1" applyAlignment="1">
      <alignment horizontal="center" vertical="center"/>
    </xf>
    <xf numFmtId="165" fontId="27" fillId="8" borderId="19" xfId="0" applyNumberFormat="1" applyFont="1" applyFill="1" applyBorder="1" applyAlignment="1">
      <alignment horizontal="center" vertical="center"/>
    </xf>
    <xf numFmtId="165" fontId="6" fillId="5" borderId="21" xfId="0" applyNumberFormat="1" applyFont="1" applyFill="1" applyBorder="1" applyAlignment="1">
      <alignment horizontal="right"/>
    </xf>
    <xf numFmtId="165" fontId="21" fillId="5" borderId="21" xfId="0" applyNumberFormat="1" applyFont="1" applyFill="1" applyBorder="1" applyAlignment="1">
      <alignment horizontal="right"/>
    </xf>
    <xf numFmtId="165" fontId="6" fillId="5" borderId="0" xfId="0" applyNumberFormat="1" applyFont="1" applyFill="1" applyAlignment="1">
      <alignment horizontal="right" vertical="center"/>
    </xf>
    <xf numFmtId="165" fontId="14" fillId="5" borderId="0" xfId="0" applyNumberFormat="1" applyFont="1" applyFill="1" applyAlignment="1">
      <alignment horizontal="right" vertical="center"/>
    </xf>
    <xf numFmtId="165" fontId="21" fillId="5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 wrapText="1"/>
    </xf>
    <xf numFmtId="0" fontId="36" fillId="0" borderId="0" xfId="46" applyFont="1" applyFill="1" applyBorder="1" applyAlignment="1">
      <alignment horizontal="center" vertical="center"/>
    </xf>
    <xf numFmtId="165" fontId="36" fillId="9" borderId="19" xfId="46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165" fontId="14" fillId="0" borderId="19" xfId="0" applyNumberFormat="1" applyFont="1" applyFill="1" applyBorder="1" applyAlignment="1">
      <alignment horizontal="center" vertical="center"/>
    </xf>
    <xf numFmtId="4" fontId="20" fillId="8" borderId="0" xfId="0" applyNumberFormat="1" applyFont="1" applyFill="1" applyAlignment="1">
      <alignment horizontal="center" vertical="center" wrapText="1"/>
    </xf>
    <xf numFmtId="4" fontId="9" fillId="8" borderId="0" xfId="0" applyNumberFormat="1" applyFont="1" applyFill="1" applyAlignment="1">
      <alignment horizontal="center" vertical="center" wrapText="1"/>
    </xf>
    <xf numFmtId="165" fontId="9" fillId="8" borderId="8" xfId="0" applyNumberFormat="1" applyFont="1" applyFill="1" applyBorder="1" applyAlignment="1">
      <alignment horizontal="center" vertical="center"/>
    </xf>
    <xf numFmtId="165" fontId="9" fillId="0" borderId="22" xfId="0" applyNumberFormat="1" applyFont="1" applyBorder="1" applyAlignment="1">
      <alignment horizontal="center" vertical="center"/>
    </xf>
    <xf numFmtId="0" fontId="9" fillId="5" borderId="0" xfId="0" applyFont="1" applyFill="1" applyAlignment="1">
      <alignment vertical="center" wrapText="1"/>
    </xf>
    <xf numFmtId="165" fontId="9" fillId="0" borderId="8" xfId="0" applyNumberFormat="1" applyFont="1" applyBorder="1" applyAlignment="1">
      <alignment horizontal="center" vertical="center"/>
    </xf>
    <xf numFmtId="165" fontId="9" fillId="0" borderId="19" xfId="0" applyNumberFormat="1" applyFont="1" applyBorder="1" applyAlignment="1">
      <alignment horizontal="center" vertical="center"/>
    </xf>
    <xf numFmtId="0" fontId="9" fillId="8" borderId="0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165" fontId="14" fillId="5" borderId="19" xfId="0" applyNumberFormat="1" applyFont="1" applyFill="1" applyBorder="1" applyAlignment="1">
      <alignment horizontal="center" vertical="center"/>
    </xf>
    <xf numFmtId="165" fontId="39" fillId="9" borderId="19" xfId="46" applyNumberFormat="1" applyFont="1" applyFill="1" applyBorder="1" applyAlignment="1">
      <alignment horizontal="center" vertical="center"/>
    </xf>
    <xf numFmtId="165" fontId="22" fillId="9" borderId="19" xfId="46" applyNumberFormat="1" applyFont="1" applyFill="1" applyBorder="1" applyAlignment="1">
      <alignment horizontal="center" vertical="center"/>
    </xf>
    <xf numFmtId="164" fontId="32" fillId="0" borderId="0" xfId="2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165" fontId="22" fillId="0" borderId="19" xfId="0" applyNumberFormat="1" applyFont="1" applyFill="1" applyBorder="1" applyAlignment="1">
      <alignment horizontal="center" vertical="center"/>
    </xf>
    <xf numFmtId="165" fontId="2" fillId="8" borderId="8" xfId="0" applyNumberFormat="1" applyFont="1" applyFill="1" applyBorder="1" applyAlignment="1">
      <alignment horizontal="center" vertical="center"/>
    </xf>
    <xf numFmtId="165" fontId="27" fillId="0" borderId="6" xfId="0" applyNumberFormat="1" applyFont="1" applyFill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165" fontId="2" fillId="0" borderId="19" xfId="0" applyNumberFormat="1" applyFont="1" applyBorder="1" applyAlignment="1">
      <alignment horizontal="center" vertical="center"/>
    </xf>
    <xf numFmtId="165" fontId="2" fillId="8" borderId="4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5" fontId="6" fillId="5" borderId="19" xfId="0" applyNumberFormat="1" applyFont="1" applyFill="1" applyBorder="1" applyAlignment="1">
      <alignment horizontal="center" vertical="center"/>
    </xf>
    <xf numFmtId="165" fontId="22" fillId="5" borderId="19" xfId="0" applyNumberFormat="1" applyFont="1" applyFill="1" applyBorder="1" applyAlignment="1">
      <alignment horizontal="center" vertical="center"/>
    </xf>
    <xf numFmtId="0" fontId="20" fillId="8" borderId="0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/>
    </xf>
    <xf numFmtId="165" fontId="9" fillId="0" borderId="23" xfId="0" applyNumberFormat="1" applyFont="1" applyFill="1" applyBorder="1" applyAlignment="1">
      <alignment horizontal="center" vertical="center"/>
    </xf>
    <xf numFmtId="165" fontId="9" fillId="0" borderId="24" xfId="0" applyNumberFormat="1" applyFont="1" applyFill="1" applyBorder="1" applyAlignment="1">
      <alignment horizontal="center" vertical="center"/>
    </xf>
    <xf numFmtId="0" fontId="9" fillId="5" borderId="0" xfId="0" applyFont="1" applyFill="1" applyAlignment="1">
      <alignment horizontal="left" wrapText="1"/>
    </xf>
    <xf numFmtId="165" fontId="14" fillId="5" borderId="0" xfId="0" applyNumberFormat="1" applyFont="1" applyFill="1" applyBorder="1" applyAlignment="1">
      <alignment horizontal="center" vertical="center"/>
    </xf>
    <xf numFmtId="165" fontId="9" fillId="3" borderId="8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wrapText="1"/>
    </xf>
    <xf numFmtId="165" fontId="40" fillId="3" borderId="18" xfId="0" applyNumberFormat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 wrapText="1"/>
    </xf>
    <xf numFmtId="165" fontId="40" fillId="0" borderId="3" xfId="0" applyNumberFormat="1" applyFont="1" applyBorder="1" applyAlignment="1">
      <alignment horizontal="center" vertical="center"/>
    </xf>
    <xf numFmtId="0" fontId="20" fillId="0" borderId="0" xfId="0" applyFont="1" applyFill="1" applyAlignment="1">
      <alignment horizontal="center" wrapText="1"/>
    </xf>
    <xf numFmtId="0" fontId="9" fillId="8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9" fillId="5" borderId="0" xfId="0" applyFont="1" applyFill="1"/>
    <xf numFmtId="0" fontId="38" fillId="8" borderId="0" xfId="0" applyFont="1" applyFill="1" applyBorder="1" applyAlignment="1">
      <alignment vertical="center" wrapText="1"/>
    </xf>
    <xf numFmtId="165" fontId="6" fillId="5" borderId="0" xfId="0" applyNumberFormat="1" applyFont="1" applyFill="1" applyBorder="1" applyAlignment="1">
      <alignment horizontal="center" vertical="center"/>
    </xf>
    <xf numFmtId="165" fontId="21" fillId="5" borderId="0" xfId="0" applyNumberFormat="1" applyFont="1" applyFill="1" applyBorder="1" applyAlignment="1">
      <alignment horizontal="center" vertical="center"/>
    </xf>
    <xf numFmtId="165" fontId="40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40" fillId="0" borderId="19" xfId="0" applyNumberFormat="1" applyFont="1" applyFill="1" applyBorder="1" applyAlignment="1">
      <alignment horizontal="center" vertical="center"/>
    </xf>
    <xf numFmtId="165" fontId="14" fillId="8" borderId="0" xfId="0" applyNumberFormat="1" applyFont="1" applyFill="1" applyBorder="1" applyAlignment="1">
      <alignment horizontal="center" vertical="center"/>
    </xf>
    <xf numFmtId="165" fontId="21" fillId="8" borderId="0" xfId="0" applyNumberFormat="1" applyFont="1" applyFill="1" applyBorder="1" applyAlignment="1">
      <alignment horizontal="center" vertical="center"/>
    </xf>
    <xf numFmtId="165" fontId="2" fillId="0" borderId="0" xfId="5" applyNumberFormat="1" applyFont="1" applyFill="1" applyBorder="1" applyAlignment="1">
      <alignment horizontal="center" vertical="center"/>
    </xf>
    <xf numFmtId="165" fontId="9" fillId="0" borderId="0" xfId="5" applyNumberFormat="1" applyFont="1" applyFill="1" applyBorder="1" applyAlignment="1">
      <alignment horizontal="center" vertical="center"/>
    </xf>
    <xf numFmtId="165" fontId="27" fillId="0" borderId="0" xfId="0" applyNumberFormat="1" applyFont="1" applyFill="1" applyAlignment="1">
      <alignment vertical="center"/>
    </xf>
    <xf numFmtId="165" fontId="2" fillId="0" borderId="0" xfId="5" applyNumberFormat="1" applyFont="1" applyFill="1" applyAlignment="1">
      <alignment horizontal="center" vertical="center"/>
    </xf>
    <xf numFmtId="165" fontId="9" fillId="0" borderId="0" xfId="5" applyNumberFormat="1" applyFont="1" applyFill="1" applyAlignment="1">
      <alignment horizontal="center" vertical="center"/>
    </xf>
    <xf numFmtId="0" fontId="20" fillId="3" borderId="0" xfId="0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/>
    </xf>
    <xf numFmtId="165" fontId="9" fillId="5" borderId="25" xfId="0" applyNumberFormat="1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8" xfId="0" applyNumberFormat="1" applyFont="1" applyFill="1" applyBorder="1" applyAlignment="1">
      <alignment horizontal="center" vertical="center"/>
    </xf>
    <xf numFmtId="165" fontId="9" fillId="0" borderId="26" xfId="0" applyNumberFormat="1" applyFont="1" applyFill="1" applyBorder="1" applyAlignment="1">
      <alignment horizontal="center" vertical="center"/>
    </xf>
    <xf numFmtId="2" fontId="20" fillId="0" borderId="0" xfId="0" applyNumberFormat="1" applyFont="1" applyFill="1" applyBorder="1" applyAlignment="1">
      <alignment horizontal="center" vertical="center" wrapText="1"/>
    </xf>
    <xf numFmtId="2" fontId="20" fillId="0" borderId="0" xfId="0" applyNumberFormat="1" applyFont="1" applyAlignment="1">
      <alignment horizontal="center" vertical="center" wrapText="1"/>
    </xf>
    <xf numFmtId="0" fontId="37" fillId="5" borderId="0" xfId="0" applyFont="1" applyFill="1" applyBorder="1" applyAlignment="1">
      <alignment vertical="center"/>
    </xf>
    <xf numFmtId="0" fontId="14" fillId="5" borderId="19" xfId="8" applyFont="1" applyFill="1" applyBorder="1" applyAlignment="1">
      <alignment horizontal="center" vertical="center"/>
    </xf>
    <xf numFmtId="165" fontId="14" fillId="5" borderId="19" xfId="8" applyNumberFormat="1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vertical="center"/>
    </xf>
    <xf numFmtId="164" fontId="22" fillId="0" borderId="0" xfId="2" applyFont="1" applyFill="1" applyBorder="1" applyAlignment="1">
      <alignment horizontal="center" vertical="center"/>
    </xf>
    <xf numFmtId="0" fontId="9" fillId="8" borderId="0" xfId="0" applyFont="1" applyFill="1"/>
    <xf numFmtId="0" fontId="27" fillId="8" borderId="0" xfId="0" applyFont="1" applyFill="1"/>
    <xf numFmtId="165" fontId="9" fillId="0" borderId="4" xfId="0" applyNumberFormat="1" applyFont="1" applyFill="1" applyBorder="1" applyAlignment="1">
      <alignment horizontal="center" vertical="center"/>
    </xf>
    <xf numFmtId="165" fontId="2" fillId="5" borderId="25" xfId="0" applyNumberFormat="1" applyFont="1" applyFill="1" applyBorder="1" applyAlignment="1">
      <alignment horizontal="center" vertical="center"/>
    </xf>
    <xf numFmtId="165" fontId="27" fillId="5" borderId="25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165" fontId="9" fillId="8" borderId="0" xfId="0" applyNumberFormat="1" applyFont="1" applyFill="1" applyAlignment="1">
      <alignment horizontal="center" vertical="center" wrapText="1"/>
    </xf>
    <xf numFmtId="165" fontId="27" fillId="8" borderId="0" xfId="0" applyNumberFormat="1" applyFont="1" applyFill="1" applyAlignment="1">
      <alignment horizontal="center" vertical="center" wrapText="1"/>
    </xf>
    <xf numFmtId="165" fontId="2" fillId="0" borderId="27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9" fillId="0" borderId="28" xfId="0" applyNumberFormat="1" applyFont="1" applyFill="1" applyBorder="1" applyAlignment="1">
      <alignment horizontal="center" vertical="center"/>
    </xf>
    <xf numFmtId="165" fontId="6" fillId="5" borderId="19" xfId="8" applyNumberFormat="1" applyFont="1" applyFill="1" applyBorder="1" applyAlignment="1">
      <alignment horizontal="center" vertical="center"/>
    </xf>
    <xf numFmtId="165" fontId="21" fillId="5" borderId="19" xfId="8" applyNumberFormat="1" applyFont="1" applyFill="1" applyBorder="1" applyAlignment="1">
      <alignment horizontal="center" vertical="center"/>
    </xf>
    <xf numFmtId="165" fontId="9" fillId="0" borderId="24" xfId="0" applyNumberFormat="1" applyFont="1" applyBorder="1" applyAlignment="1">
      <alignment horizontal="center" vertical="center"/>
    </xf>
    <xf numFmtId="0" fontId="9" fillId="5" borderId="0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165" fontId="14" fillId="5" borderId="25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9" fillId="8" borderId="0" xfId="0" applyFont="1" applyFill="1" applyBorder="1" applyAlignment="1">
      <alignment horizontal="center" vertical="center" wrapText="1"/>
    </xf>
    <xf numFmtId="165" fontId="22" fillId="5" borderId="0" xfId="0" applyNumberFormat="1" applyFont="1" applyFill="1" applyBorder="1" applyAlignment="1">
      <alignment horizontal="center" vertical="center"/>
    </xf>
    <xf numFmtId="165" fontId="27" fillId="0" borderId="4" xfId="0" applyNumberFormat="1" applyFont="1" applyFill="1" applyBorder="1" applyAlignment="1">
      <alignment horizontal="center" vertical="center"/>
    </xf>
    <xf numFmtId="165" fontId="6" fillId="5" borderId="25" xfId="0" applyNumberFormat="1" applyFont="1" applyFill="1" applyBorder="1" applyAlignment="1">
      <alignment horizontal="center" vertical="center"/>
    </xf>
    <xf numFmtId="165" fontId="21" fillId="5" borderId="25" xfId="0" applyNumberFormat="1" applyFont="1" applyFill="1" applyBorder="1" applyAlignment="1">
      <alignment horizontal="center" vertical="center"/>
    </xf>
    <xf numFmtId="165" fontId="27" fillId="8" borderId="1" xfId="0" applyNumberFormat="1" applyFont="1" applyFill="1" applyBorder="1" applyAlignment="1">
      <alignment horizontal="center" vertical="center"/>
    </xf>
    <xf numFmtId="165" fontId="27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center" vertical="center" wrapText="1"/>
    </xf>
    <xf numFmtId="165" fontId="14" fillId="4" borderId="0" xfId="0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165" fontId="38" fillId="0" borderId="0" xfId="11" applyNumberFormat="1" applyFont="1" applyFill="1" applyBorder="1" applyAlignment="1">
      <alignment horizontal="center" vertical="center"/>
    </xf>
    <xf numFmtId="165" fontId="2" fillId="0" borderId="20" xfId="0" applyNumberFormat="1" applyFont="1" applyFill="1" applyBorder="1" applyAlignment="1">
      <alignment horizontal="center"/>
    </xf>
    <xf numFmtId="165" fontId="9" fillId="3" borderId="6" xfId="0" applyNumberFormat="1" applyFont="1" applyFill="1" applyBorder="1" applyAlignment="1">
      <alignment horizontal="center" vertical="center"/>
    </xf>
    <xf numFmtId="165" fontId="9" fillId="0" borderId="6" xfId="0" applyNumberFormat="1" applyFont="1" applyFill="1" applyBorder="1" applyAlignment="1">
      <alignment horizontal="center" vertical="center"/>
    </xf>
    <xf numFmtId="165" fontId="6" fillId="4" borderId="0" xfId="0" applyNumberFormat="1" applyFont="1" applyFill="1" applyBorder="1" applyAlignment="1">
      <alignment horizontal="center" vertical="center"/>
    </xf>
    <xf numFmtId="165" fontId="21" fillId="4" borderId="0" xfId="0" applyNumberFormat="1" applyFont="1" applyFill="1" applyBorder="1" applyAlignment="1">
      <alignment horizontal="center" vertical="center"/>
    </xf>
    <xf numFmtId="165" fontId="4" fillId="0" borderId="0" xfId="11" applyNumberFormat="1" applyFont="1" applyFill="1" applyBorder="1" applyAlignment="1">
      <alignment horizontal="center" vertical="center"/>
    </xf>
    <xf numFmtId="165" fontId="2" fillId="0" borderId="0" xfId="2" applyNumberFormat="1" applyFont="1" applyFill="1" applyBorder="1" applyAlignment="1">
      <alignment horizontal="center" vertical="center"/>
    </xf>
    <xf numFmtId="165" fontId="9" fillId="0" borderId="0" xfId="2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4" fontId="41" fillId="0" borderId="0" xfId="0" applyNumberFormat="1" applyFont="1" applyFill="1" applyAlignment="1">
      <alignment horizontal="center" vertical="center"/>
    </xf>
    <xf numFmtId="165" fontId="14" fillId="5" borderId="29" xfId="0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0" fontId="20" fillId="0" borderId="2" xfId="0" applyFont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/>
    </xf>
    <xf numFmtId="4" fontId="14" fillId="5" borderId="0" xfId="0" applyNumberFormat="1" applyFont="1" applyFill="1" applyAlignment="1">
      <alignment horizontal="center" vertical="center"/>
    </xf>
    <xf numFmtId="165" fontId="6" fillId="5" borderId="29" xfId="0" applyNumberFormat="1" applyFont="1" applyFill="1" applyBorder="1" applyAlignment="1">
      <alignment horizontal="center" vertical="center"/>
    </xf>
    <xf numFmtId="165" fontId="21" fillId="5" borderId="29" xfId="0" applyNumberFormat="1" applyFont="1" applyFill="1" applyBorder="1" applyAlignment="1">
      <alignment horizontal="center" vertical="center"/>
    </xf>
    <xf numFmtId="165" fontId="9" fillId="0" borderId="27" xfId="0" applyNumberFormat="1" applyFont="1" applyBorder="1" applyAlignment="1">
      <alignment horizontal="center" vertical="center"/>
    </xf>
    <xf numFmtId="165" fontId="27" fillId="0" borderId="22" xfId="0" applyNumberFormat="1" applyFont="1" applyFill="1" applyBorder="1" applyAlignment="1">
      <alignment horizontal="center" vertical="center"/>
    </xf>
    <xf numFmtId="165" fontId="14" fillId="5" borderId="25" xfId="5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 wrapText="1"/>
    </xf>
    <xf numFmtId="165" fontId="40" fillId="0" borderId="0" xfId="0" applyNumberFormat="1" applyFont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165" fontId="14" fillId="0" borderId="9" xfId="0" applyNumberFormat="1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 wrapText="1"/>
    </xf>
    <xf numFmtId="0" fontId="19" fillId="0" borderId="0" xfId="0" applyFont="1"/>
    <xf numFmtId="164" fontId="27" fillId="0" borderId="0" xfId="2" applyFont="1" applyFill="1" applyBorder="1" applyAlignment="1">
      <alignment vertical="center"/>
    </xf>
    <xf numFmtId="165" fontId="6" fillId="5" borderId="25" xfId="5" applyNumberFormat="1" applyFont="1" applyFill="1" applyBorder="1" applyAlignment="1">
      <alignment horizontal="center" vertical="center"/>
    </xf>
    <xf numFmtId="165" fontId="21" fillId="5" borderId="25" xfId="5" applyNumberFormat="1" applyFont="1" applyFill="1" applyBorder="1" applyAlignment="1">
      <alignment horizontal="center" vertical="center"/>
    </xf>
    <xf numFmtId="165" fontId="14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165" fontId="6" fillId="0" borderId="9" xfId="0" applyNumberFormat="1" applyFont="1" applyFill="1" applyBorder="1" applyAlignment="1">
      <alignment horizontal="center" vertical="center"/>
    </xf>
    <xf numFmtId="165" fontId="22" fillId="0" borderId="9" xfId="0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vertical="center"/>
    </xf>
    <xf numFmtId="0" fontId="14" fillId="7" borderId="0" xfId="4" applyFont="1" applyBorder="1" applyAlignment="1">
      <alignment horizontal="left" vertical="center"/>
    </xf>
    <xf numFmtId="165" fontId="14" fillId="0" borderId="14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/>
    <xf numFmtId="0" fontId="16" fillId="7" borderId="0" xfId="4" applyFont="1" applyBorder="1" applyAlignment="1">
      <alignment horizontal="left" vertical="center"/>
    </xf>
    <xf numFmtId="165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165" fontId="14" fillId="0" borderId="16" xfId="0" applyNumberFormat="1" applyFont="1" applyFill="1" applyBorder="1" applyAlignment="1">
      <alignment horizontal="center" vertical="center"/>
    </xf>
    <xf numFmtId="0" fontId="14" fillId="10" borderId="30" xfId="7" applyFont="1" applyBorder="1" applyAlignment="1">
      <alignment vertical="center" wrapText="1"/>
    </xf>
    <xf numFmtId="0" fontId="14" fillId="0" borderId="13" xfId="0" applyFont="1" applyFill="1" applyBorder="1" applyAlignment="1">
      <alignment horizontal="left" vertical="center" wrapText="1"/>
    </xf>
    <xf numFmtId="165" fontId="14" fillId="0" borderId="11" xfId="0" applyNumberFormat="1" applyFont="1" applyFill="1" applyBorder="1" applyAlignment="1">
      <alignment horizontal="center" vertical="center"/>
    </xf>
    <xf numFmtId="165" fontId="14" fillId="0" borderId="0" xfId="0" applyNumberFormat="1" applyFont="1" applyFill="1" applyAlignment="1">
      <alignment horizontal="center" vertical="center" wrapText="1"/>
    </xf>
    <xf numFmtId="4" fontId="14" fillId="0" borderId="0" xfId="0" applyNumberFormat="1" applyFont="1" applyFill="1" applyBorder="1" applyAlignment="1"/>
    <xf numFmtId="0" fontId="14" fillId="0" borderId="0" xfId="0" applyFont="1" applyFill="1" applyBorder="1" applyAlignment="1"/>
    <xf numFmtId="0" fontId="19" fillId="0" borderId="0" xfId="0" applyFont="1" applyFill="1" applyAlignment="1">
      <alignment horizontal="center" vertical="center"/>
    </xf>
    <xf numFmtId="0" fontId="37" fillId="6" borderId="14" xfId="9" applyNumberFormat="1" applyFont="1" applyBorder="1" applyAlignment="1">
      <alignment horizontal="center" vertical="center"/>
    </xf>
    <xf numFmtId="0" fontId="37" fillId="6" borderId="17" xfId="9" applyFont="1" applyBorder="1" applyAlignment="1">
      <alignment horizontal="left" vertical="center"/>
    </xf>
    <xf numFmtId="164" fontId="44" fillId="0" borderId="15" xfId="9" applyNumberFormat="1" applyFont="1" applyFill="1" applyBorder="1" applyAlignment="1">
      <alignment horizontal="left" vertical="center"/>
    </xf>
    <xf numFmtId="44" fontId="37" fillId="6" borderId="17" xfId="9" applyNumberFormat="1" applyFont="1" applyBorder="1" applyAlignment="1">
      <alignment horizontal="left" vertical="center"/>
    </xf>
    <xf numFmtId="0" fontId="37" fillId="6" borderId="16" xfId="9" applyNumberFormat="1" applyFont="1" applyBorder="1" applyAlignment="1">
      <alignment horizontal="center" vertical="center"/>
    </xf>
    <xf numFmtId="44" fontId="37" fillId="6" borderId="10" xfId="9" applyNumberFormat="1" applyFont="1" applyBorder="1" applyAlignment="1">
      <alignment horizontal="left" vertical="center"/>
    </xf>
    <xf numFmtId="164" fontId="44" fillId="0" borderId="12" xfId="9" applyNumberFormat="1" applyFont="1" applyFill="1" applyBorder="1" applyAlignment="1">
      <alignment horizontal="left" vertical="center"/>
    </xf>
    <xf numFmtId="164" fontId="22" fillId="0" borderId="0" xfId="2" applyFont="1" applyFill="1" applyBorder="1" applyAlignment="1"/>
    <xf numFmtId="165" fontId="6" fillId="0" borderId="0" xfId="0" applyNumberFormat="1" applyFont="1" applyFill="1" applyBorder="1" applyAlignment="1"/>
    <xf numFmtId="0" fontId="6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7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44" fontId="37" fillId="6" borderId="13" xfId="9" applyNumberFormat="1" applyFont="1" applyBorder="1" applyAlignment="1">
      <alignment horizontal="center" vertical="center"/>
    </xf>
    <xf numFmtId="44" fontId="37" fillId="6" borderId="17" xfId="9" applyNumberFormat="1" applyFont="1" applyBorder="1" applyAlignment="1">
      <alignment horizontal="center" vertical="center"/>
    </xf>
    <xf numFmtId="44" fontId="44" fillId="6" borderId="15" xfId="9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26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</cellXfs>
  <cellStyles count="49">
    <cellStyle name="20% - Accent1" xfId="10"/>
    <cellStyle name="20% - Accent2" xfId="12"/>
    <cellStyle name="20% - Accent3" xfId="13"/>
    <cellStyle name="20% - Accent4" xfId="14"/>
    <cellStyle name="20% - Accent5" xfId="16"/>
    <cellStyle name="20% - Accent6" xfId="4"/>
    <cellStyle name="20% - Énfasis3" xfId="11" builtinId="38"/>
    <cellStyle name="20% - Énfasis6" xfId="9" builtinId="50"/>
    <cellStyle name="40% - Accent1" xfId="17"/>
    <cellStyle name="40% - Accent2" xfId="18"/>
    <cellStyle name="40% - Accent3" xfId="6"/>
    <cellStyle name="40% - Accent4" xfId="19"/>
    <cellStyle name="40% - Accent5" xfId="20"/>
    <cellStyle name="40% - Accent6" xfId="21"/>
    <cellStyle name="60% - Accent1" xfId="15"/>
    <cellStyle name="60% - Accent2" xfId="3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álculo" xfId="8" builtinId="22"/>
    <cellStyle name="Check Cell" xfId="34"/>
    <cellStyle name="Entrada" xfId="7" builtinId="20"/>
    <cellStyle name="Euro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Millares" xfId="5" builtinId="3"/>
    <cellStyle name="Moneda" xfId="2" builtinId="4"/>
    <cellStyle name="Moneda [0]" xfId="1" builtinId="7"/>
    <cellStyle name="Normal" xfId="0" builtinId="0"/>
    <cellStyle name="Normal 3" xfId="44"/>
    <cellStyle name="Note" xfId="45"/>
    <cellStyle name="Output" xfId="46"/>
    <cellStyle name="Title" xfId="47"/>
    <cellStyle name="Warning Text" xfId="4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EAEAEA"/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ENERO%202023\1ER%20%20QUINCENA%20%20%20DICIEMBRE%20%20%20%20%202022,%20BANCOS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1RA%20QUINCENA%20NOV21\1DA%20QUINCENA%20DE%20NOVIEMBRE%20%202021,%20BANC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ENERO%2023\2DA%20QUINCENA%20%20ENERO%20%20%20%20%202023,%20BANCO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%20FEB%202023\1ER%20%20QUINCENA%20%20FEB%20%20%202023,%20BANCO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NOV%202022\1ER%20%20%20QUINCENA%20%20%20NOV%20%20%20%202022,%20BANCO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FEB%2023\2DA%20QUINCENA%20%20FEB%20%20%202023,%20BANCO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MARZO%2023\2DA%20%20QUINCENA%20%20MAR%20%202023,%20BANCO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DICATURA\Downloads\1ER%20QUINCENA%20JUNIO%20%20%202023,%20BANCO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MARZO%2023\1ER%20%20QUINCENA%20%20MAR%20%202023,%20BANCO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2DA%20QUINCENA%20ABRIL%202022\2DA%20%20QUINCENA%20%20ABRIL%202022,%20BANC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6"/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 refreshError="1"/>
      <sheetData sheetId="1" refreshError="1">
        <row r="7">
          <cell r="G7">
            <v>11839.1805</v>
          </cell>
          <cell r="H7">
            <v>476.94150000000002</v>
          </cell>
        </row>
        <row r="19">
          <cell r="G19">
            <v>30935.225999999999</v>
          </cell>
          <cell r="H19">
            <v>1498.9590000000001</v>
          </cell>
        </row>
        <row r="20">
          <cell r="G20">
            <v>2620.8000000000002</v>
          </cell>
        </row>
        <row r="24">
          <cell r="G24">
            <v>20545.255499999999</v>
          </cell>
          <cell r="H24">
            <v>1078.2555</v>
          </cell>
        </row>
        <row r="25">
          <cell r="G25">
            <v>6727.308</v>
          </cell>
          <cell r="H25">
            <v>217.30799999999999</v>
          </cell>
        </row>
        <row r="29">
          <cell r="G29">
            <v>20545.255499999999</v>
          </cell>
          <cell r="H29">
            <v>1078.2555</v>
          </cell>
        </row>
        <row r="30">
          <cell r="G30">
            <v>11275.41</v>
          </cell>
          <cell r="H30">
            <v>476.94150000000002</v>
          </cell>
        </row>
        <row r="31">
          <cell r="G31">
            <v>7069.6080000000002</v>
          </cell>
          <cell r="H31">
            <v>217.30799999999999</v>
          </cell>
        </row>
        <row r="35">
          <cell r="G35">
            <v>20545.255499999999</v>
          </cell>
          <cell r="H35">
            <v>1078.2555</v>
          </cell>
        </row>
        <row r="36">
          <cell r="G36">
            <v>7565.3760000000002</v>
          </cell>
          <cell r="H36">
            <v>240.24</v>
          </cell>
        </row>
        <row r="38">
          <cell r="G38">
            <v>7565.3760000000002</v>
          </cell>
          <cell r="H38">
            <v>240.24</v>
          </cell>
        </row>
        <row r="39">
          <cell r="G39">
            <v>6512.6880000000001</v>
          </cell>
          <cell r="H39">
            <v>171.44399999999999</v>
          </cell>
        </row>
        <row r="40">
          <cell r="G40">
            <v>6786.78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</sheetNames>
    <sheetDataSet>
      <sheetData sheetId="0" refreshError="1">
        <row r="428">
          <cell r="D428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37">
          <cell r="G37">
            <v>5723.1719999999996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45">
          <cell r="G45">
            <v>14359.23</v>
          </cell>
          <cell r="H45">
            <v>454.23</v>
          </cell>
        </row>
        <row r="226">
          <cell r="G226">
            <v>6690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 refreshError="1">
        <row r="58">
          <cell r="G58">
            <v>3.9999999999054099E-3</v>
          </cell>
          <cell r="H5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85">
          <cell r="G85">
            <v>3990</v>
          </cell>
        </row>
      </sheetData>
      <sheetData sheetId="1"/>
      <sheetData sheetId="2"/>
      <sheetData sheetId="3">
        <row r="22">
          <cell r="J22">
            <v>3990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165">
          <cell r="G165">
            <v>4492.6875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198">
          <cell r="G198">
            <v>6720.84</v>
          </cell>
          <cell r="H198">
            <v>201.76</v>
          </cell>
        </row>
        <row r="313">
          <cell r="G313">
            <v>2363.386</v>
          </cell>
        </row>
      </sheetData>
      <sheetData sheetId="1" refreshError="1"/>
      <sheetData sheetId="2">
        <row r="20">
          <cell r="J20">
            <v>4306.66</v>
          </cell>
        </row>
      </sheetData>
      <sheetData sheetId="3">
        <row r="25">
          <cell r="J25">
            <v>3087.5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246">
          <cell r="G246">
            <v>3910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</sheetNames>
    <sheetDataSet>
      <sheetData sheetId="0" refreshError="1">
        <row r="412">
          <cell r="D41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S557"/>
  <sheetViews>
    <sheetView tabSelected="1" view="pageBreakPreview" zoomScale="90" zoomScaleNormal="80" zoomScalePageLayoutView="80" workbookViewId="0">
      <selection activeCell="E8" sqref="E8"/>
    </sheetView>
  </sheetViews>
  <sheetFormatPr baseColWidth="10" defaultColWidth="11.28515625" defaultRowHeight="12.75" customHeight="1"/>
  <cols>
    <col min="1" max="1" width="20.85546875" style="38" customWidth="1"/>
    <col min="2" max="2" width="12" style="24" customWidth="1"/>
    <col min="3" max="3" width="16.42578125" style="24" customWidth="1"/>
    <col min="4" max="4" width="13.28515625" style="7" customWidth="1"/>
    <col min="5" max="5" width="13" style="24" customWidth="1"/>
    <col min="6" max="6" width="10.5703125" style="24" customWidth="1"/>
    <col min="7" max="7" width="12.7109375" style="39" customWidth="1"/>
    <col min="8" max="8" width="16.85546875" style="24" customWidth="1"/>
    <col min="9" max="16384" width="11.28515625" style="6"/>
  </cols>
  <sheetData>
    <row r="1" spans="1:8" ht="15" customHeight="1">
      <c r="A1" s="269" t="s">
        <v>0</v>
      </c>
      <c r="B1" s="269"/>
      <c r="C1" s="269"/>
      <c r="D1" s="269"/>
      <c r="E1" s="269"/>
      <c r="F1" s="269"/>
      <c r="G1" s="270"/>
      <c r="H1" s="269"/>
    </row>
    <row r="2" spans="1:8" ht="15" customHeight="1">
      <c r="A2" s="269" t="s">
        <v>1</v>
      </c>
      <c r="B2" s="269"/>
      <c r="C2" s="269"/>
      <c r="D2" s="269"/>
      <c r="E2" s="269"/>
      <c r="F2" s="269"/>
      <c r="G2" s="270"/>
      <c r="H2" s="269"/>
    </row>
    <row r="3" spans="1:8" ht="15" customHeight="1">
      <c r="A3" s="271" t="s">
        <v>2</v>
      </c>
      <c r="B3" s="271"/>
      <c r="C3" s="271"/>
      <c r="D3" s="271"/>
      <c r="E3" s="271"/>
      <c r="F3" s="271"/>
      <c r="G3" s="272"/>
      <c r="H3" s="271"/>
    </row>
    <row r="4" spans="1:8" ht="15" customHeight="1">
      <c r="A4" s="296"/>
      <c r="B4" s="296"/>
      <c r="C4" s="296"/>
      <c r="D4" s="287"/>
      <c r="E4" s="296"/>
      <c r="F4" s="296"/>
      <c r="G4" s="288"/>
      <c r="H4" s="296"/>
    </row>
    <row r="5" spans="1:8" ht="28.5" customHeight="1">
      <c r="A5" s="13" t="s">
        <v>3</v>
      </c>
      <c r="B5" s="12" t="s">
        <v>4</v>
      </c>
      <c r="C5" s="12" t="s">
        <v>5</v>
      </c>
      <c r="D5" s="8" t="s">
        <v>6</v>
      </c>
      <c r="E5" s="12" t="s">
        <v>7</v>
      </c>
      <c r="F5" s="67" t="s">
        <v>8</v>
      </c>
      <c r="G5" s="68" t="s">
        <v>9</v>
      </c>
      <c r="H5" s="13" t="s">
        <v>10</v>
      </c>
    </row>
    <row r="6" spans="1:8" ht="45" customHeight="1">
      <c r="A6" s="32" t="s">
        <v>11</v>
      </c>
      <c r="B6" s="14" t="s">
        <v>12</v>
      </c>
      <c r="C6" s="40">
        <f>'[1]MADRE BANCO'!$G$7</f>
        <v>11839.1805</v>
      </c>
      <c r="D6" s="69">
        <f>'[1]MADRE BANCO'!$H$7</f>
        <v>476.94150000000002</v>
      </c>
      <c r="E6" s="64"/>
      <c r="F6" s="64" t="s">
        <v>13</v>
      </c>
      <c r="G6" s="70"/>
      <c r="H6" s="64">
        <f>C6-D6+G6</f>
        <v>11362.239</v>
      </c>
    </row>
    <row r="7" spans="1:8" ht="45" customHeight="1">
      <c r="A7" s="32" t="s">
        <v>14</v>
      </c>
      <c r="B7" s="14" t="s">
        <v>12</v>
      </c>
      <c r="C7" s="40">
        <f>'[1]MADRE BANCO'!$G$7</f>
        <v>11839.1805</v>
      </c>
      <c r="D7" s="69">
        <f>'[1]MADRE BANCO'!$H$7</f>
        <v>476.94150000000002</v>
      </c>
      <c r="E7" s="64"/>
      <c r="F7" s="64"/>
      <c r="G7" s="70"/>
      <c r="H7" s="64">
        <f t="shared" ref="H7:H14" si="0">C7-D7+G7</f>
        <v>11362.239</v>
      </c>
    </row>
    <row r="8" spans="1:8" ht="57.95" customHeight="1">
      <c r="A8" s="32" t="s">
        <v>15</v>
      </c>
      <c r="B8" s="14" t="s">
        <v>12</v>
      </c>
      <c r="C8" s="40">
        <f>'[1]MADRE BANCO'!$G$7</f>
        <v>11839.1805</v>
      </c>
      <c r="D8" s="69">
        <f>'[1]MADRE BANCO'!$H$7</f>
        <v>476.94150000000002</v>
      </c>
      <c r="E8" s="64"/>
      <c r="F8" s="64"/>
      <c r="G8" s="70"/>
      <c r="H8" s="64">
        <f t="shared" si="0"/>
        <v>11362.239</v>
      </c>
    </row>
    <row r="9" spans="1:8" ht="45" customHeight="1">
      <c r="A9" s="32" t="s">
        <v>16</v>
      </c>
      <c r="B9" s="33" t="s">
        <v>17</v>
      </c>
      <c r="C9" s="40">
        <f>'[1]MADRE BANCO'!$G$7</f>
        <v>11839.1805</v>
      </c>
      <c r="D9" s="69">
        <f>'[1]MADRE BANCO'!$H$7</f>
        <v>476.94150000000002</v>
      </c>
      <c r="E9" s="64"/>
      <c r="F9" s="64"/>
      <c r="G9" s="70"/>
      <c r="H9" s="64">
        <f t="shared" si="0"/>
        <v>11362.239</v>
      </c>
    </row>
    <row r="10" spans="1:8" ht="45" customHeight="1">
      <c r="A10" s="32" t="s">
        <v>18</v>
      </c>
      <c r="B10" s="14" t="s">
        <v>12</v>
      </c>
      <c r="C10" s="40">
        <f>'[1]MADRE BANCO'!$G$7</f>
        <v>11839.1805</v>
      </c>
      <c r="D10" s="69">
        <f>'[1]MADRE BANCO'!$H$7</f>
        <v>476.94150000000002</v>
      </c>
      <c r="E10" s="64"/>
      <c r="F10" s="64"/>
      <c r="G10" s="70"/>
      <c r="H10" s="64">
        <f t="shared" si="0"/>
        <v>11362.239</v>
      </c>
    </row>
    <row r="11" spans="1:8" ht="56.1" customHeight="1">
      <c r="A11" s="32" t="s">
        <v>19</v>
      </c>
      <c r="B11" s="14" t="s">
        <v>12</v>
      </c>
      <c r="C11" s="40">
        <f>'[1]MADRE BANCO'!$G$7</f>
        <v>11839.1805</v>
      </c>
      <c r="D11" s="69">
        <f>'[1]MADRE BANCO'!$H$7</f>
        <v>476.94150000000002</v>
      </c>
      <c r="E11" s="64"/>
      <c r="F11" s="64"/>
      <c r="G11" s="70"/>
      <c r="H11" s="64">
        <f t="shared" si="0"/>
        <v>11362.239</v>
      </c>
    </row>
    <row r="12" spans="1:8" ht="54.95" customHeight="1">
      <c r="A12" s="32" t="s">
        <v>20</v>
      </c>
      <c r="B12" s="14" t="s">
        <v>12</v>
      </c>
      <c r="C12" s="40">
        <f>'[1]MADRE BANCO'!$G$7</f>
        <v>11839.1805</v>
      </c>
      <c r="D12" s="69">
        <f>'[1]MADRE BANCO'!$H$7</f>
        <v>476.94150000000002</v>
      </c>
      <c r="E12" s="64"/>
      <c r="F12" s="64"/>
      <c r="G12" s="70"/>
      <c r="H12" s="64">
        <f t="shared" si="0"/>
        <v>11362.239</v>
      </c>
    </row>
    <row r="13" spans="1:8" ht="57.95" customHeight="1">
      <c r="A13" s="32" t="s">
        <v>21</v>
      </c>
      <c r="B13" s="14" t="s">
        <v>12</v>
      </c>
      <c r="C13" s="40">
        <f>'[1]MADRE BANCO'!$G$7</f>
        <v>11839.1805</v>
      </c>
      <c r="D13" s="69">
        <f>'[1]MADRE BANCO'!$H$7</f>
        <v>476.94150000000002</v>
      </c>
      <c r="E13" s="64"/>
      <c r="F13" s="64"/>
      <c r="G13" s="70"/>
      <c r="H13" s="64">
        <f t="shared" si="0"/>
        <v>11362.239</v>
      </c>
    </row>
    <row r="14" spans="1:8" ht="45" customHeight="1">
      <c r="A14" s="32" t="s">
        <v>22</v>
      </c>
      <c r="B14" s="14" t="s">
        <v>12</v>
      </c>
      <c r="C14" s="40">
        <f>'[1]MADRE BANCO'!$G$7</f>
        <v>11839.1805</v>
      </c>
      <c r="D14" s="69">
        <f>'[1]MADRE BANCO'!$H$7</f>
        <v>476.94150000000002</v>
      </c>
      <c r="E14" s="71"/>
      <c r="F14" s="71"/>
      <c r="G14" s="70"/>
      <c r="H14" s="64">
        <f t="shared" si="0"/>
        <v>11362.239</v>
      </c>
    </row>
    <row r="15" spans="1:8" ht="25.5" customHeight="1">
      <c r="A15" s="21"/>
      <c r="B15" s="20" t="s">
        <v>23</v>
      </c>
      <c r="C15" s="41">
        <f>SUM(C6:C14)</f>
        <v>106552.62450000001</v>
      </c>
      <c r="D15" s="72">
        <f t="shared" ref="D15:H15" si="1">SUM(D6:D14)</f>
        <v>4292.4735000000001</v>
      </c>
      <c r="E15" s="41">
        <f t="shared" si="1"/>
        <v>0</v>
      </c>
      <c r="F15" s="41">
        <f t="shared" si="1"/>
        <v>0</v>
      </c>
      <c r="G15" s="73">
        <f t="shared" si="1"/>
        <v>0</v>
      </c>
      <c r="H15" s="41">
        <f t="shared" si="1"/>
        <v>102260.151</v>
      </c>
    </row>
    <row r="16" spans="1:8" ht="15" customHeight="1">
      <c r="A16" s="279"/>
      <c r="B16" s="279"/>
      <c r="C16" s="279"/>
      <c r="D16" s="279"/>
      <c r="E16" s="279"/>
      <c r="F16" s="279"/>
      <c r="G16" s="280"/>
      <c r="H16" s="279"/>
    </row>
    <row r="17" spans="1:8" ht="15" customHeight="1">
      <c r="A17" s="279"/>
      <c r="B17" s="279"/>
      <c r="C17" s="279"/>
      <c r="D17" s="279"/>
      <c r="E17" s="279"/>
      <c r="F17" s="279"/>
      <c r="G17" s="280"/>
      <c r="H17" s="279"/>
    </row>
    <row r="18" spans="1:8" ht="15" customHeight="1">
      <c r="A18" s="289"/>
      <c r="B18" s="289"/>
      <c r="C18" s="289"/>
      <c r="D18" s="289"/>
      <c r="E18" s="289"/>
      <c r="F18" s="289"/>
      <c r="G18" s="290"/>
      <c r="H18" s="289"/>
    </row>
    <row r="19" spans="1:8" ht="15" customHeight="1">
      <c r="A19" s="297"/>
      <c r="B19" s="297"/>
      <c r="C19" s="297"/>
      <c r="D19" s="298"/>
      <c r="E19" s="297"/>
      <c r="F19" s="297"/>
      <c r="G19" s="299"/>
      <c r="H19" s="297"/>
    </row>
    <row r="20" spans="1:8" ht="27.75" customHeight="1">
      <c r="A20" s="43" t="str">
        <f>A5</f>
        <v>NOMBRE</v>
      </c>
      <c r="B20" s="42" t="str">
        <f>B5</f>
        <v>PUESTO</v>
      </c>
      <c r="C20" s="42" t="str">
        <f>C5</f>
        <v>SUELDO</v>
      </c>
      <c r="D20" s="74" t="str">
        <f>D5</f>
        <v>RETENCION</v>
      </c>
      <c r="E20" s="42" t="str">
        <f>E5</f>
        <v>S.E.</v>
      </c>
      <c r="F20" s="75" t="s">
        <v>8</v>
      </c>
      <c r="G20" s="76" t="str">
        <f>G5</f>
        <v>COMPENSACIONES</v>
      </c>
      <c r="H20" s="42" t="str">
        <f>H5</f>
        <v>SUELDO NETO</v>
      </c>
    </row>
    <row r="21" spans="1:8" ht="59.1" customHeight="1">
      <c r="A21" s="45" t="s">
        <v>24</v>
      </c>
      <c r="B21" s="44" t="s">
        <v>25</v>
      </c>
      <c r="C21" s="46">
        <f>'[1]MADRE BANCO'!$G$19</f>
        <v>30935.225999999999</v>
      </c>
      <c r="D21" s="77">
        <f>'[1]MADRE BANCO'!$H$19</f>
        <v>1498.9590000000001</v>
      </c>
      <c r="E21" s="46"/>
      <c r="F21" s="46"/>
      <c r="G21" s="78"/>
      <c r="H21" s="46">
        <f>C21-D21+E21+F21+G21</f>
        <v>29436.267</v>
      </c>
    </row>
    <row r="22" spans="1:8" ht="45" customHeight="1">
      <c r="A22" s="34" t="s">
        <v>26</v>
      </c>
      <c r="B22" s="14" t="s">
        <v>27</v>
      </c>
      <c r="C22" s="29">
        <f>4530*1.04*1.05</f>
        <v>4946.76</v>
      </c>
      <c r="D22" s="31"/>
      <c r="E22" s="64">
        <v>90</v>
      </c>
      <c r="F22" s="64"/>
      <c r="G22" s="79"/>
      <c r="H22" s="64">
        <f>C22-D22+E22+G22</f>
        <v>5036.76</v>
      </c>
    </row>
    <row r="23" spans="1:8" ht="56.1" customHeight="1">
      <c r="A23" s="32" t="s">
        <v>28</v>
      </c>
      <c r="B23" s="16" t="s">
        <v>29</v>
      </c>
      <c r="C23" s="47">
        <f>'[1]MADRE BANCO'!$G$20</f>
        <v>2620.8000000000002</v>
      </c>
      <c r="D23" s="80"/>
      <c r="E23" s="47"/>
      <c r="F23" s="47"/>
      <c r="G23" s="81"/>
      <c r="H23" s="47">
        <f>C23-D23+E23+G23</f>
        <v>2620.8000000000002</v>
      </c>
    </row>
    <row r="24" spans="1:8" ht="25.5" customHeight="1">
      <c r="A24" s="48"/>
      <c r="B24" s="20" t="s">
        <v>23</v>
      </c>
      <c r="C24" s="49">
        <f t="shared" ref="C24:H24" si="2">SUM(C21:C23)</f>
        <v>38502.786</v>
      </c>
      <c r="D24" s="82">
        <f t="shared" si="2"/>
        <v>1498.9590000000001</v>
      </c>
      <c r="E24" s="49">
        <f t="shared" si="2"/>
        <v>90</v>
      </c>
      <c r="F24" s="49">
        <f t="shared" si="2"/>
        <v>0</v>
      </c>
      <c r="G24" s="83">
        <f t="shared" si="2"/>
        <v>0</v>
      </c>
      <c r="H24" s="49">
        <f t="shared" si="2"/>
        <v>37093.827000000005</v>
      </c>
    </row>
    <row r="25" spans="1:8" ht="15" customHeight="1">
      <c r="A25" s="279"/>
      <c r="B25" s="279"/>
      <c r="C25" s="279"/>
      <c r="D25" s="279"/>
      <c r="E25" s="279"/>
      <c r="F25" s="279"/>
      <c r="G25" s="280"/>
      <c r="H25" s="279"/>
    </row>
    <row r="26" spans="1:8" ht="12.75" customHeight="1">
      <c r="A26" s="279"/>
      <c r="B26" s="279"/>
      <c r="C26" s="279"/>
      <c r="D26" s="279"/>
      <c r="E26" s="279"/>
      <c r="F26" s="279"/>
      <c r="G26" s="280"/>
      <c r="H26" s="279"/>
    </row>
    <row r="27" spans="1:8" ht="18.75" customHeight="1">
      <c r="A27" s="281"/>
      <c r="B27" s="281"/>
      <c r="C27" s="281"/>
      <c r="D27" s="281"/>
      <c r="E27" s="281"/>
      <c r="F27" s="281"/>
      <c r="G27" s="282"/>
      <c r="H27" s="281"/>
    </row>
    <row r="28" spans="1:8" ht="25.5" customHeight="1">
      <c r="A28" s="297"/>
      <c r="B28" s="297"/>
      <c r="C28" s="297"/>
      <c r="D28" s="298"/>
      <c r="E28" s="297"/>
      <c r="F28" s="297"/>
      <c r="G28" s="299"/>
      <c r="H28" s="297"/>
    </row>
    <row r="29" spans="1:8" ht="32.25" customHeight="1">
      <c r="A29" s="50" t="s">
        <v>3</v>
      </c>
      <c r="B29" s="50" t="s">
        <v>4</v>
      </c>
      <c r="C29" s="50" t="s">
        <v>5</v>
      </c>
      <c r="D29" s="9" t="s">
        <v>6</v>
      </c>
      <c r="E29" s="50" t="s">
        <v>7</v>
      </c>
      <c r="F29" s="75" t="s">
        <v>8</v>
      </c>
      <c r="G29" s="28" t="str">
        <f>G20</f>
        <v>COMPENSACIONES</v>
      </c>
      <c r="H29" s="50" t="s">
        <v>10</v>
      </c>
    </row>
    <row r="30" spans="1:8" ht="57.95" customHeight="1">
      <c r="A30" s="51" t="s">
        <v>30</v>
      </c>
      <c r="B30" s="52" t="s">
        <v>31</v>
      </c>
      <c r="C30" s="53">
        <f>'[1]MADRE BANCO'!$G$24</f>
        <v>20545.255499999999</v>
      </c>
      <c r="D30" s="84">
        <f>'[1]MADRE BANCO'!$H$24</f>
        <v>1078.2555</v>
      </c>
      <c r="E30" s="53"/>
      <c r="F30" s="53"/>
      <c r="G30" s="85"/>
      <c r="H30" s="53">
        <f>C30-D30+E30+G30</f>
        <v>19467</v>
      </c>
    </row>
    <row r="31" spans="1:8" ht="50.25" customHeight="1">
      <c r="A31" s="54" t="s">
        <v>32</v>
      </c>
      <c r="B31" s="16" t="s">
        <v>33</v>
      </c>
      <c r="C31" s="40">
        <f>'[1]MADRE BANCO'!$G$25</f>
        <v>6727.308</v>
      </c>
      <c r="D31" s="69">
        <f>'[1]MADRE BANCO'!$H$25</f>
        <v>217.30799999999999</v>
      </c>
      <c r="E31" s="40"/>
      <c r="F31" s="40"/>
      <c r="G31" s="79"/>
      <c r="H31" s="40">
        <f>C31-D31+E31+G31</f>
        <v>6510</v>
      </c>
    </row>
    <row r="32" spans="1:8" ht="25.5" customHeight="1">
      <c r="A32" s="55"/>
      <c r="B32" s="20" t="s">
        <v>23</v>
      </c>
      <c r="C32" s="41">
        <f t="shared" ref="C32:H32" si="3">SUM(C30:C31)</f>
        <v>27272.5635</v>
      </c>
      <c r="D32" s="72">
        <f t="shared" si="3"/>
        <v>1295.5635</v>
      </c>
      <c r="E32" s="41">
        <f t="shared" si="3"/>
        <v>0</v>
      </c>
      <c r="F32" s="41">
        <f t="shared" si="3"/>
        <v>0</v>
      </c>
      <c r="G32" s="73">
        <f t="shared" si="3"/>
        <v>0</v>
      </c>
      <c r="H32" s="41">
        <f t="shared" si="3"/>
        <v>25977</v>
      </c>
    </row>
    <row r="33" spans="1:8" ht="15" customHeight="1">
      <c r="A33" s="279"/>
      <c r="B33" s="279"/>
      <c r="C33" s="279"/>
      <c r="D33" s="279"/>
      <c r="E33" s="279"/>
      <c r="F33" s="279"/>
      <c r="G33" s="280"/>
      <c r="H33" s="279"/>
    </row>
    <row r="34" spans="1:8" ht="15" customHeight="1">
      <c r="A34" s="279"/>
      <c r="B34" s="279"/>
      <c r="C34" s="279"/>
      <c r="D34" s="279"/>
      <c r="E34" s="279"/>
      <c r="F34" s="279"/>
      <c r="G34" s="280"/>
      <c r="H34" s="279"/>
    </row>
    <row r="35" spans="1:8" ht="15" customHeight="1">
      <c r="A35" s="289"/>
      <c r="B35" s="289"/>
      <c r="C35" s="289"/>
      <c r="D35" s="289"/>
      <c r="E35" s="289"/>
      <c r="F35" s="289"/>
      <c r="G35" s="290"/>
      <c r="H35" s="289"/>
    </row>
    <row r="36" spans="1:8" ht="15" customHeight="1">
      <c r="A36" s="296"/>
      <c r="B36" s="296"/>
      <c r="C36" s="296"/>
      <c r="D36" s="287"/>
      <c r="E36" s="296"/>
      <c r="F36" s="296"/>
      <c r="G36" s="288"/>
      <c r="H36" s="296"/>
    </row>
    <row r="37" spans="1:8" ht="28.5" customHeight="1">
      <c r="A37" s="50" t="s">
        <v>3</v>
      </c>
      <c r="B37" s="50" t="s">
        <v>4</v>
      </c>
      <c r="C37" s="50" t="s">
        <v>5</v>
      </c>
      <c r="D37" s="9" t="s">
        <v>6</v>
      </c>
      <c r="E37" s="50" t="s">
        <v>7</v>
      </c>
      <c r="F37" s="75" t="s">
        <v>8</v>
      </c>
      <c r="G37" s="86" t="str">
        <f>G29</f>
        <v>COMPENSACIONES</v>
      </c>
      <c r="H37" s="50" t="s">
        <v>10</v>
      </c>
    </row>
    <row r="38" spans="1:8" ht="54" customHeight="1">
      <c r="A38" s="56" t="s">
        <v>34</v>
      </c>
      <c r="B38" s="57" t="s">
        <v>35</v>
      </c>
      <c r="C38" s="46">
        <f>'[1]MADRE BANCO'!$G$29</f>
        <v>20545.255499999999</v>
      </c>
      <c r="D38" s="77">
        <f>'[1]MADRE BANCO'!$H$29</f>
        <v>1078.2555</v>
      </c>
      <c r="E38" s="46"/>
      <c r="F38" s="46"/>
      <c r="G38" s="78"/>
      <c r="H38" s="53">
        <f>C38-D38+E38+G38</f>
        <v>19467</v>
      </c>
    </row>
    <row r="39" spans="1:8" s="1" customFormat="1" ht="51" customHeight="1">
      <c r="A39" s="32" t="s">
        <v>36</v>
      </c>
      <c r="B39" s="16" t="s">
        <v>37</v>
      </c>
      <c r="C39" s="40">
        <f>'[1]MADRE BANCO'!$G$30</f>
        <v>11275.41</v>
      </c>
      <c r="D39" s="69">
        <f>'[1]MADRE BANCO'!$H$30</f>
        <v>476.94150000000002</v>
      </c>
      <c r="E39" s="87"/>
      <c r="F39" s="87"/>
      <c r="G39" s="79"/>
      <c r="H39" s="40">
        <f>C39-D39+E39+G39</f>
        <v>10798.468499999999</v>
      </c>
    </row>
    <row r="40" spans="1:8" ht="63" customHeight="1">
      <c r="A40" s="34" t="s">
        <v>38</v>
      </c>
      <c r="B40" s="58" t="s">
        <v>27</v>
      </c>
      <c r="C40" s="40">
        <f>'[1]MADRE BANCO'!$G$31</f>
        <v>7069.6080000000002</v>
      </c>
      <c r="D40" s="69">
        <f>'[1]MADRE BANCO'!$H$31</f>
        <v>217.30799999999999</v>
      </c>
      <c r="E40" s="40"/>
      <c r="F40" s="40"/>
      <c r="G40" s="79"/>
      <c r="H40" s="40">
        <f>C40-D40+E40+G40</f>
        <v>6852.3</v>
      </c>
    </row>
    <row r="41" spans="1:8" ht="25.5" customHeight="1">
      <c r="A41" s="55"/>
      <c r="B41" s="20" t="s">
        <v>23</v>
      </c>
      <c r="C41" s="41">
        <f>SUM(C38:C40)</f>
        <v>38890.273499999996</v>
      </c>
      <c r="D41" s="72">
        <f>SUM(D38:D40)</f>
        <v>1772.5050000000001</v>
      </c>
      <c r="E41" s="41">
        <f t="shared" ref="E41:G41" si="4">SUM(E38:E39)</f>
        <v>0</v>
      </c>
      <c r="F41" s="41">
        <f t="shared" si="4"/>
        <v>0</v>
      </c>
      <c r="G41" s="88">
        <f t="shared" si="4"/>
        <v>0</v>
      </c>
      <c r="H41" s="41">
        <f>SUM(H38:H40)</f>
        <v>37117.768499999998</v>
      </c>
    </row>
    <row r="42" spans="1:8" ht="15" customHeight="1">
      <c r="B42" s="59"/>
      <c r="C42" s="59"/>
      <c r="D42" s="89"/>
      <c r="E42" s="59"/>
      <c r="F42" s="59"/>
      <c r="G42" s="90"/>
      <c r="H42" s="59"/>
    </row>
    <row r="43" spans="1:8" ht="15" customHeight="1">
      <c r="B43" s="59"/>
      <c r="C43" s="59"/>
      <c r="D43" s="89"/>
      <c r="E43" s="59"/>
      <c r="F43" s="59"/>
      <c r="G43" s="90"/>
      <c r="H43" s="59"/>
    </row>
    <row r="44" spans="1:8" ht="15" customHeight="1">
      <c r="B44" s="60"/>
      <c r="C44" s="60"/>
      <c r="D44" s="91"/>
      <c r="E44" s="60"/>
      <c r="F44" s="60"/>
      <c r="G44" s="90"/>
      <c r="H44" s="60"/>
    </row>
    <row r="45" spans="1:8" ht="15" customHeight="1">
      <c r="A45" s="50"/>
      <c r="B45" s="50" t="s">
        <v>39</v>
      </c>
      <c r="C45" s="50"/>
      <c r="D45" s="9"/>
      <c r="E45" s="50"/>
      <c r="F45" s="50"/>
      <c r="G45" s="92"/>
      <c r="H45" s="50"/>
    </row>
    <row r="46" spans="1:8" ht="29.25" customHeight="1">
      <c r="A46" s="50" t="s">
        <v>3</v>
      </c>
      <c r="B46" s="50" t="s">
        <v>4</v>
      </c>
      <c r="C46" s="50" t="s">
        <v>5</v>
      </c>
      <c r="D46" s="9" t="s">
        <v>6</v>
      </c>
      <c r="E46" s="50" t="s">
        <v>7</v>
      </c>
      <c r="F46" s="75" t="s">
        <v>8</v>
      </c>
      <c r="G46" s="28" t="str">
        <f>G37</f>
        <v>COMPENSACIONES</v>
      </c>
      <c r="H46" s="50" t="s">
        <v>10</v>
      </c>
    </row>
    <row r="47" spans="1:8" ht="51" customHeight="1">
      <c r="A47" s="61" t="s">
        <v>40</v>
      </c>
      <c r="B47" s="44" t="s">
        <v>41</v>
      </c>
      <c r="C47" s="62">
        <f>'[1]MADRE BANCO'!$G$35</f>
        <v>20545.255499999999</v>
      </c>
      <c r="D47" s="93">
        <f>'[1]MADRE BANCO'!$H$35</f>
        <v>1078.2555</v>
      </c>
      <c r="E47" s="62"/>
      <c r="F47" s="62"/>
      <c r="G47" s="94"/>
      <c r="H47" s="62">
        <f>C47-D47+E47+G47</f>
        <v>19467</v>
      </c>
    </row>
    <row r="48" spans="1:8" ht="15.75">
      <c r="A48" s="50"/>
      <c r="B48" s="50" t="s">
        <v>42</v>
      </c>
      <c r="C48" s="50"/>
      <c r="D48" s="9"/>
      <c r="E48" s="50"/>
      <c r="F48" s="50"/>
      <c r="G48" s="92"/>
      <c r="H48" s="50"/>
    </row>
    <row r="49" spans="1:8" ht="31.5" customHeight="1">
      <c r="A49" s="50" t="s">
        <v>3</v>
      </c>
      <c r="B49" s="50" t="s">
        <v>4</v>
      </c>
      <c r="C49" s="50" t="s">
        <v>5</v>
      </c>
      <c r="D49" s="9" t="s">
        <v>6</v>
      </c>
      <c r="E49" s="50" t="s">
        <v>7</v>
      </c>
      <c r="F49" s="75" t="s">
        <v>8</v>
      </c>
      <c r="G49" s="28" t="s">
        <v>9</v>
      </c>
      <c r="H49" s="50" t="s">
        <v>10</v>
      </c>
    </row>
    <row r="50" spans="1:8" ht="51" customHeight="1">
      <c r="A50" s="34" t="s">
        <v>43</v>
      </c>
      <c r="B50" s="33" t="s">
        <v>44</v>
      </c>
      <c r="C50" s="40">
        <f>'[1]MADRE BANCO'!$G$36</f>
        <v>7565.3760000000002</v>
      </c>
      <c r="D50" s="69">
        <f>'[1]MADRE BANCO'!$H$36</f>
        <v>240.24</v>
      </c>
      <c r="E50" s="40"/>
      <c r="G50" s="79"/>
      <c r="H50" s="64">
        <f>C50-D50+E50+G50</f>
        <v>7325.1360000000004</v>
      </c>
    </row>
    <row r="51" spans="1:8" ht="51" customHeight="1">
      <c r="A51" s="34" t="s">
        <v>45</v>
      </c>
      <c r="B51" s="33" t="s">
        <v>46</v>
      </c>
      <c r="C51" s="40">
        <f>'[2]MADRE BANCO'!$G$37</f>
        <v>5723.1719999999996</v>
      </c>
      <c r="D51" s="30"/>
      <c r="E51" s="64">
        <v>90</v>
      </c>
      <c r="F51" s="64"/>
      <c r="G51" s="79"/>
      <c r="H51" s="64">
        <f t="shared" ref="H51:H53" si="5">C51-D51+E51+G51</f>
        <v>5813.1719999999996</v>
      </c>
    </row>
    <row r="52" spans="1:8" ht="51" customHeight="1">
      <c r="A52" s="15" t="s">
        <v>47</v>
      </c>
      <c r="B52" s="16" t="s">
        <v>48</v>
      </c>
      <c r="C52" s="40">
        <f>'[1]MADRE BANCO'!$G$38</f>
        <v>7565.3760000000002</v>
      </c>
      <c r="D52" s="69">
        <f>'[1]MADRE BANCO'!$H$38</f>
        <v>240.24</v>
      </c>
      <c r="E52" s="40"/>
      <c r="F52" s="40"/>
      <c r="G52" s="79"/>
      <c r="H52" s="64">
        <f t="shared" si="5"/>
        <v>7325.1360000000004</v>
      </c>
    </row>
    <row r="53" spans="1:8" ht="51" customHeight="1">
      <c r="A53" s="34" t="s">
        <v>49</v>
      </c>
      <c r="B53" s="33" t="s">
        <v>50</v>
      </c>
      <c r="C53" s="40">
        <f>'[1]MADRE BANCO'!$G$39</f>
        <v>6512.6880000000001</v>
      </c>
      <c r="D53" s="30">
        <f>'[1]MADRE BANCO'!$H$39</f>
        <v>171.44399999999999</v>
      </c>
      <c r="E53" s="64"/>
      <c r="F53" s="64"/>
      <c r="G53" s="79"/>
      <c r="H53" s="64">
        <f t="shared" si="5"/>
        <v>6341.2439999999997</v>
      </c>
    </row>
    <row r="54" spans="1:8" ht="25.5" customHeight="1">
      <c r="A54" s="55"/>
      <c r="B54" s="63" t="s">
        <v>51</v>
      </c>
      <c r="C54" s="41">
        <f t="shared" ref="C54:H54" si="6">SUM(C50:C53)</f>
        <v>27366.612000000001</v>
      </c>
      <c r="D54" s="72">
        <f t="shared" si="6"/>
        <v>651.92399999999998</v>
      </c>
      <c r="E54" s="41">
        <f t="shared" si="6"/>
        <v>90</v>
      </c>
      <c r="F54" s="41">
        <f t="shared" si="6"/>
        <v>0</v>
      </c>
      <c r="G54" s="73">
        <f t="shared" si="6"/>
        <v>0</v>
      </c>
      <c r="H54" s="41">
        <f t="shared" si="6"/>
        <v>26804.688000000002</v>
      </c>
    </row>
    <row r="55" spans="1:8" ht="15.75" customHeight="1">
      <c r="A55" s="287"/>
      <c r="B55" s="287"/>
      <c r="C55" s="287"/>
      <c r="D55" s="287"/>
      <c r="E55" s="287"/>
      <c r="F55" s="287"/>
      <c r="G55" s="288"/>
      <c r="H55" s="287"/>
    </row>
    <row r="56" spans="1:8" ht="24.75" customHeight="1">
      <c r="A56" s="50" t="s">
        <v>3</v>
      </c>
      <c r="B56" s="50" t="s">
        <v>4</v>
      </c>
      <c r="C56" s="50" t="s">
        <v>5</v>
      </c>
      <c r="D56" s="9" t="s">
        <v>6</v>
      </c>
      <c r="E56" s="50" t="s">
        <v>7</v>
      </c>
      <c r="F56" s="75" t="s">
        <v>8</v>
      </c>
      <c r="G56" s="28" t="str">
        <f>G46</f>
        <v>COMPENSACIONES</v>
      </c>
      <c r="H56" s="50" t="s">
        <v>10</v>
      </c>
    </row>
    <row r="57" spans="1:8" ht="60" customHeight="1">
      <c r="A57" s="34" t="s">
        <v>52</v>
      </c>
      <c r="B57" s="33" t="s">
        <v>53</v>
      </c>
      <c r="C57" s="64">
        <f>'[1]MADRE BANCO'!$G$40</f>
        <v>6786.78</v>
      </c>
      <c r="D57" s="69"/>
      <c r="E57" s="40">
        <v>90</v>
      </c>
      <c r="F57" s="40"/>
      <c r="G57" s="81"/>
      <c r="H57" s="64">
        <f>C57-D57+E57+G57</f>
        <v>6876.78</v>
      </c>
    </row>
    <row r="58" spans="1:8" ht="25.5" customHeight="1">
      <c r="A58" s="48"/>
      <c r="B58" s="63" t="s">
        <v>51</v>
      </c>
      <c r="C58" s="65">
        <f>SUM(C57)</f>
        <v>6786.78</v>
      </c>
      <c r="D58" s="95">
        <f t="shared" ref="D58:H58" si="7">SUM(D57)</f>
        <v>0</v>
      </c>
      <c r="E58" s="65">
        <f t="shared" si="7"/>
        <v>90</v>
      </c>
      <c r="F58" s="65">
        <f t="shared" si="7"/>
        <v>0</v>
      </c>
      <c r="G58" s="96">
        <f t="shared" si="7"/>
        <v>0</v>
      </c>
      <c r="H58" s="65">
        <f t="shared" si="7"/>
        <v>6876.78</v>
      </c>
    </row>
    <row r="59" spans="1:8" ht="25.5" customHeight="1">
      <c r="A59" s="48"/>
      <c r="B59" s="20" t="s">
        <v>23</v>
      </c>
      <c r="C59" s="66">
        <f>SUM(C54+C58)+C47</f>
        <v>54698.647499999999</v>
      </c>
      <c r="D59" s="97">
        <f>SUM(D54+D58)+D47</f>
        <v>1730.1795</v>
      </c>
      <c r="E59" s="98">
        <f>SUM(E54+E58)</f>
        <v>180</v>
      </c>
      <c r="F59" s="98">
        <f>SUM(F54+F58)</f>
        <v>0</v>
      </c>
      <c r="G59" s="99">
        <f>SUM(G54+G58)</f>
        <v>0</v>
      </c>
      <c r="H59" s="98">
        <f>SUM(H54+H58)+H47</f>
        <v>53148.468000000001</v>
      </c>
    </row>
    <row r="60" spans="1:8" ht="15" customHeight="1">
      <c r="A60" s="283"/>
      <c r="B60" s="283"/>
      <c r="C60" s="283"/>
      <c r="D60" s="283"/>
      <c r="E60" s="283"/>
      <c r="F60" s="283"/>
      <c r="G60" s="284"/>
      <c r="H60" s="283"/>
    </row>
    <row r="61" spans="1:8" ht="15" customHeight="1">
      <c r="A61" s="283"/>
      <c r="B61" s="283"/>
      <c r="C61" s="283"/>
      <c r="D61" s="283"/>
      <c r="E61" s="283"/>
      <c r="F61" s="283"/>
      <c r="G61" s="284"/>
      <c r="H61" s="283"/>
    </row>
    <row r="62" spans="1:8" ht="15" customHeight="1">
      <c r="A62" s="283"/>
      <c r="B62" s="283"/>
      <c r="C62" s="283"/>
      <c r="D62" s="283"/>
      <c r="E62" s="283"/>
      <c r="F62" s="283"/>
      <c r="G62" s="284"/>
      <c r="H62" s="283"/>
    </row>
    <row r="63" spans="1:8" ht="15" customHeight="1">
      <c r="A63" s="276"/>
      <c r="B63" s="276"/>
      <c r="C63" s="276"/>
      <c r="D63" s="277"/>
      <c r="E63" s="276"/>
      <c r="F63" s="276"/>
      <c r="G63" s="278"/>
      <c r="H63" s="276"/>
    </row>
    <row r="64" spans="1:8" ht="24.75" customHeight="1">
      <c r="A64" s="50" t="s">
        <v>3</v>
      </c>
      <c r="B64" s="50" t="s">
        <v>4</v>
      </c>
      <c r="C64" s="50" t="s">
        <v>5</v>
      </c>
      <c r="D64" s="9" t="s">
        <v>6</v>
      </c>
      <c r="E64" s="50" t="s">
        <v>7</v>
      </c>
      <c r="F64" s="75" t="s">
        <v>8</v>
      </c>
      <c r="G64" s="28" t="str">
        <f>G56</f>
        <v>COMPENSACIONES</v>
      </c>
      <c r="H64" s="50" t="s">
        <v>10</v>
      </c>
    </row>
    <row r="65" spans="1:19" ht="51" customHeight="1">
      <c r="A65" s="45" t="s">
        <v>54</v>
      </c>
      <c r="B65" s="57" t="s">
        <v>55</v>
      </c>
      <c r="C65" s="53">
        <f>'[3]MADRE BANCO'!$G$45</f>
        <v>14359.23</v>
      </c>
      <c r="D65" s="84">
        <f>'[3]MADRE BANCO'!$H$45</f>
        <v>454.23</v>
      </c>
      <c r="E65" s="53"/>
      <c r="F65" s="53"/>
      <c r="G65" s="85"/>
      <c r="H65" s="53">
        <f>C65-D65</f>
        <v>13905</v>
      </c>
    </row>
    <row r="66" spans="1:19" ht="24.75" customHeight="1">
      <c r="A66" s="100"/>
      <c r="B66" s="101" t="s">
        <v>23</v>
      </c>
      <c r="C66" s="102">
        <f>SUM(C65)</f>
        <v>14359.23</v>
      </c>
      <c r="D66" s="119">
        <f t="shared" ref="D66:H66" si="8">SUM(D65)</f>
        <v>454.23</v>
      </c>
      <c r="E66" s="102">
        <f t="shared" si="8"/>
        <v>0</v>
      </c>
      <c r="F66" s="102">
        <f t="shared" si="8"/>
        <v>0</v>
      </c>
      <c r="G66" s="120">
        <f t="shared" si="8"/>
        <v>0</v>
      </c>
      <c r="H66" s="102">
        <f t="shared" si="8"/>
        <v>13905</v>
      </c>
    </row>
    <row r="67" spans="1:19" ht="24" customHeight="1">
      <c r="A67" s="283"/>
      <c r="B67" s="283"/>
      <c r="C67" s="283"/>
      <c r="D67" s="283"/>
      <c r="E67" s="283"/>
      <c r="F67" s="283"/>
      <c r="G67" s="284"/>
      <c r="H67" s="283"/>
    </row>
    <row r="68" spans="1:19" ht="16.5" customHeight="1">
      <c r="A68" s="283"/>
      <c r="B68" s="283"/>
      <c r="C68" s="283"/>
      <c r="D68" s="283"/>
      <c r="E68" s="283"/>
      <c r="F68" s="283"/>
      <c r="G68" s="284"/>
      <c r="H68" s="283"/>
    </row>
    <row r="69" spans="1:19" ht="15.75" customHeight="1">
      <c r="A69" s="283"/>
      <c r="B69" s="283"/>
      <c r="C69" s="283"/>
      <c r="D69" s="283"/>
      <c r="E69" s="283"/>
      <c r="F69" s="283"/>
      <c r="G69" s="284"/>
      <c r="H69" s="283"/>
    </row>
    <row r="70" spans="1:19" ht="15.75" customHeight="1">
      <c r="A70" s="276"/>
      <c r="B70" s="276"/>
      <c r="C70" s="276"/>
      <c r="D70" s="277"/>
      <c r="E70" s="276"/>
      <c r="F70" s="276"/>
      <c r="G70" s="278"/>
      <c r="H70" s="276"/>
    </row>
    <row r="71" spans="1:19" ht="45.75" customHeight="1">
      <c r="A71" s="100"/>
      <c r="B71" s="103" t="s">
        <v>56</v>
      </c>
      <c r="C71" s="40"/>
      <c r="D71" s="69"/>
      <c r="E71" s="40"/>
      <c r="F71" s="40"/>
      <c r="G71" s="121"/>
      <c r="H71" s="40"/>
    </row>
    <row r="72" spans="1:19" ht="33.75" customHeight="1">
      <c r="B72" s="104" t="s">
        <v>57</v>
      </c>
    </row>
    <row r="73" spans="1:19" ht="25.5" customHeight="1">
      <c r="A73" s="100"/>
      <c r="B73" s="105" t="s">
        <v>23</v>
      </c>
      <c r="C73" s="106">
        <f>SUM(C71:C72)</f>
        <v>0</v>
      </c>
      <c r="D73" s="122">
        <f t="shared" ref="D73:H73" si="9">SUM(D71:D72)</f>
        <v>0</v>
      </c>
      <c r="E73" s="106">
        <f t="shared" si="9"/>
        <v>0</v>
      </c>
      <c r="F73" s="106">
        <f t="shared" si="9"/>
        <v>0</v>
      </c>
      <c r="G73" s="123">
        <f t="shared" si="9"/>
        <v>0</v>
      </c>
      <c r="H73" s="106">
        <f t="shared" si="9"/>
        <v>0</v>
      </c>
    </row>
    <row r="74" spans="1:19" ht="15" customHeight="1">
      <c r="A74" s="279"/>
      <c r="B74" s="279"/>
      <c r="C74" s="279"/>
      <c r="D74" s="279"/>
      <c r="E74" s="279"/>
      <c r="F74" s="279"/>
      <c r="G74" s="280"/>
      <c r="H74" s="279"/>
    </row>
    <row r="75" spans="1:19" ht="15" customHeight="1">
      <c r="A75" s="279"/>
      <c r="B75" s="279"/>
      <c r="C75" s="279"/>
      <c r="D75" s="279"/>
      <c r="E75" s="279"/>
      <c r="F75" s="279"/>
      <c r="G75" s="280"/>
      <c r="H75" s="279"/>
    </row>
    <row r="76" spans="1:19" ht="15" customHeight="1">
      <c r="A76" s="289"/>
      <c r="B76" s="289"/>
      <c r="C76" s="289"/>
      <c r="D76" s="289"/>
      <c r="E76" s="289"/>
      <c r="F76" s="289"/>
      <c r="G76" s="290"/>
      <c r="H76" s="289"/>
      <c r="I76" s="276"/>
      <c r="J76" s="276"/>
      <c r="K76" s="276"/>
      <c r="L76" s="276"/>
      <c r="M76" s="276"/>
      <c r="N76" s="276"/>
      <c r="O76" s="276"/>
      <c r="P76" s="276"/>
      <c r="Q76" s="276"/>
      <c r="R76" s="276"/>
      <c r="S76" s="276"/>
    </row>
    <row r="77" spans="1:19" ht="15" customHeight="1">
      <c r="A77" s="276"/>
      <c r="B77" s="276"/>
      <c r="C77" s="276"/>
      <c r="D77" s="277"/>
      <c r="E77" s="276"/>
      <c r="F77" s="276"/>
      <c r="G77" s="278"/>
      <c r="H77" s="276"/>
    </row>
    <row r="78" spans="1:19" ht="24.75" customHeight="1">
      <c r="A78" s="43" t="str">
        <f>A5</f>
        <v>NOMBRE</v>
      </c>
      <c r="B78" s="42" t="str">
        <f>B5</f>
        <v>PUESTO</v>
      </c>
      <c r="C78" s="42" t="str">
        <f>C5</f>
        <v>SUELDO</v>
      </c>
      <c r="D78" s="74" t="str">
        <f>D5</f>
        <v>RETENCION</v>
      </c>
      <c r="E78" s="42" t="str">
        <f>E5</f>
        <v>S.E.</v>
      </c>
      <c r="F78" s="75" t="s">
        <v>8</v>
      </c>
      <c r="G78" s="28" t="str">
        <f>G64</f>
        <v>COMPENSACIONES</v>
      </c>
      <c r="H78" s="42" t="str">
        <f>H5</f>
        <v>SUELDO NETO</v>
      </c>
    </row>
    <row r="79" spans="1:19" ht="50.25" customHeight="1">
      <c r="A79" s="107" t="s">
        <v>58</v>
      </c>
      <c r="B79" s="108" t="s">
        <v>59</v>
      </c>
      <c r="C79" s="109">
        <f>7020*1.04*1.05</f>
        <v>7665.84</v>
      </c>
      <c r="D79" s="124">
        <f>220*1.04*1.05</f>
        <v>240.24</v>
      </c>
      <c r="E79" s="46"/>
      <c r="F79" s="46"/>
      <c r="G79" s="78"/>
      <c r="H79" s="46">
        <f>C79-D79+E79+G79</f>
        <v>7425.6</v>
      </c>
    </row>
    <row r="80" spans="1:19" ht="57.95" customHeight="1">
      <c r="A80" s="32" t="s">
        <v>60</v>
      </c>
      <c r="B80" s="16" t="s">
        <v>61</v>
      </c>
      <c r="C80" s="110">
        <f>3855*1.04*1.05</f>
        <v>4209.6600000000008</v>
      </c>
      <c r="D80" s="69"/>
      <c r="E80" s="40">
        <v>90</v>
      </c>
      <c r="F80" s="40"/>
      <c r="G80" s="125"/>
      <c r="H80" s="40">
        <f>C80-D80+E80+G80</f>
        <v>4299.6600000000008</v>
      </c>
    </row>
    <row r="81" spans="1:19" ht="25.5" customHeight="1">
      <c r="A81" s="111"/>
      <c r="B81" s="20" t="s">
        <v>23</v>
      </c>
      <c r="C81" s="41">
        <f t="shared" ref="C81:H81" si="10">SUM(C79:C80)</f>
        <v>11875.5</v>
      </c>
      <c r="D81" s="72">
        <f t="shared" si="10"/>
        <v>240.24</v>
      </c>
      <c r="E81" s="41">
        <f t="shared" si="10"/>
        <v>90</v>
      </c>
      <c r="F81" s="41">
        <f t="shared" si="10"/>
        <v>0</v>
      </c>
      <c r="G81" s="73">
        <f t="shared" si="10"/>
        <v>0</v>
      </c>
      <c r="H81" s="41">
        <f t="shared" si="10"/>
        <v>11725.260000000002</v>
      </c>
    </row>
    <row r="82" spans="1:19" ht="15" customHeight="1">
      <c r="A82" s="279"/>
      <c r="B82" s="279"/>
      <c r="C82" s="279"/>
      <c r="D82" s="279"/>
      <c r="E82" s="279"/>
      <c r="F82" s="279"/>
      <c r="G82" s="280"/>
      <c r="H82" s="279"/>
    </row>
    <row r="83" spans="1:19" ht="15" customHeight="1">
      <c r="A83" s="279"/>
      <c r="B83" s="279"/>
      <c r="C83" s="279"/>
      <c r="D83" s="279"/>
      <c r="E83" s="279"/>
      <c r="F83" s="279"/>
      <c r="G83" s="280"/>
      <c r="H83" s="279"/>
    </row>
    <row r="84" spans="1:19" ht="15" customHeight="1">
      <c r="A84" s="289"/>
      <c r="B84" s="289"/>
      <c r="C84" s="289"/>
      <c r="D84" s="289"/>
      <c r="E84" s="289"/>
      <c r="F84" s="289"/>
      <c r="G84" s="290"/>
      <c r="H84" s="289"/>
    </row>
    <row r="85" spans="1:19" ht="15" customHeight="1">
      <c r="A85" s="276"/>
      <c r="B85" s="276"/>
      <c r="C85" s="276"/>
      <c r="D85" s="277"/>
      <c r="E85" s="276"/>
      <c r="F85" s="276"/>
      <c r="G85" s="278"/>
      <c r="H85" s="276"/>
    </row>
    <row r="86" spans="1:19" ht="24.75" customHeight="1">
      <c r="A86" s="43" t="s">
        <v>62</v>
      </c>
      <c r="B86" s="42" t="str">
        <f>B5</f>
        <v>PUESTO</v>
      </c>
      <c r="C86" s="42" t="str">
        <f>C5</f>
        <v>SUELDO</v>
      </c>
      <c r="D86" s="74" t="str">
        <f>D5</f>
        <v>RETENCION</v>
      </c>
      <c r="E86" s="42" t="str">
        <f>E5</f>
        <v>S.E.</v>
      </c>
      <c r="F86" s="75" t="str">
        <f>F5</f>
        <v>APOYO ALIMENTO</v>
      </c>
      <c r="G86" s="28" t="str">
        <f>G78</f>
        <v>COMPENSACIONES</v>
      </c>
      <c r="H86" s="42" t="str">
        <f>H5</f>
        <v>SUELDO NETO</v>
      </c>
      <c r="I86" s="276"/>
      <c r="J86" s="276"/>
      <c r="K86" s="276"/>
      <c r="L86" s="276"/>
      <c r="M86" s="276"/>
      <c r="N86" s="276"/>
      <c r="O86" s="276"/>
      <c r="P86" s="276"/>
      <c r="Q86" s="276"/>
      <c r="R86" s="276"/>
      <c r="S86" s="276"/>
    </row>
    <row r="87" spans="1:19" ht="62.25" customHeight="1">
      <c r="A87" s="100" t="s">
        <v>63</v>
      </c>
      <c r="B87" s="33" t="s">
        <v>64</v>
      </c>
      <c r="C87" s="40">
        <f>'[4]MADRE BANCO'!$G$58</f>
        <v>3.9999999999054099E-3</v>
      </c>
      <c r="D87" s="69">
        <f>'[4]MADRE BANCO'!$H$58</f>
        <v>0</v>
      </c>
      <c r="E87" s="40"/>
      <c r="F87" s="40"/>
      <c r="G87" s="121"/>
      <c r="H87" s="40">
        <f>C87-D87+E87+G87</f>
        <v>3.9999999999054099E-3</v>
      </c>
    </row>
    <row r="88" spans="1:19" ht="25.5" customHeight="1">
      <c r="A88" s="111"/>
      <c r="B88" s="20" t="s">
        <v>23</v>
      </c>
      <c r="C88" s="41">
        <f t="shared" ref="C88:H88" si="11">SUM(C87:C87)</f>
        <v>3.9999999999054099E-3</v>
      </c>
      <c r="D88" s="72">
        <f t="shared" si="11"/>
        <v>0</v>
      </c>
      <c r="E88" s="41">
        <f t="shared" si="11"/>
        <v>0</v>
      </c>
      <c r="F88" s="41">
        <f t="shared" si="11"/>
        <v>0</v>
      </c>
      <c r="G88" s="73">
        <f t="shared" si="11"/>
        <v>0</v>
      </c>
      <c r="H88" s="41">
        <f t="shared" si="11"/>
        <v>3.9999999999054099E-3</v>
      </c>
    </row>
    <row r="89" spans="1:19" ht="15" customHeight="1">
      <c r="A89" s="283"/>
      <c r="B89" s="283"/>
      <c r="C89" s="283"/>
      <c r="D89" s="283"/>
      <c r="E89" s="283"/>
      <c r="F89" s="283"/>
      <c r="G89" s="284"/>
      <c r="H89" s="283"/>
    </row>
    <row r="90" spans="1:19" ht="15" customHeight="1">
      <c r="A90" s="283"/>
      <c r="B90" s="283"/>
      <c r="C90" s="283"/>
      <c r="D90" s="283"/>
      <c r="E90" s="283"/>
      <c r="F90" s="283"/>
      <c r="G90" s="284"/>
      <c r="H90" s="283"/>
    </row>
    <row r="91" spans="1:19" ht="15" customHeight="1">
      <c r="A91" s="285"/>
      <c r="B91" s="285"/>
      <c r="C91" s="285"/>
      <c r="D91" s="285"/>
      <c r="E91" s="285"/>
      <c r="F91" s="285"/>
      <c r="G91" s="286"/>
      <c r="H91" s="285"/>
    </row>
    <row r="92" spans="1:19" ht="15" customHeight="1">
      <c r="A92" s="276"/>
      <c r="B92" s="276"/>
      <c r="C92" s="276"/>
      <c r="D92" s="277"/>
      <c r="E92" s="276"/>
      <c r="F92" s="276"/>
      <c r="G92" s="278"/>
      <c r="H92" s="276"/>
    </row>
    <row r="93" spans="1:19" ht="24.75" customHeight="1">
      <c r="A93" s="50" t="s">
        <v>3</v>
      </c>
      <c r="B93" s="50" t="s">
        <v>4</v>
      </c>
      <c r="C93" s="50" t="s">
        <v>5</v>
      </c>
      <c r="D93" s="9" t="s">
        <v>6</v>
      </c>
      <c r="E93" s="50" t="s">
        <v>7</v>
      </c>
      <c r="F93" s="75" t="s">
        <v>8</v>
      </c>
      <c r="G93" s="28" t="str">
        <f>G86</f>
        <v>COMPENSACIONES</v>
      </c>
      <c r="H93" s="50" t="s">
        <v>10</v>
      </c>
    </row>
    <row r="94" spans="1:19" ht="65.099999999999994" customHeight="1">
      <c r="A94" s="45" t="s">
        <v>65</v>
      </c>
      <c r="B94" s="44" t="s">
        <v>66</v>
      </c>
      <c r="C94" s="46">
        <f>10038*1.04*1.05</f>
        <v>10961.496000000001</v>
      </c>
      <c r="D94" s="77">
        <f>441*1.04*1.05</f>
        <v>481.57200000000006</v>
      </c>
      <c r="E94" s="46"/>
      <c r="F94" s="46"/>
      <c r="G94" s="78"/>
      <c r="H94" s="46">
        <f>C94-D94+G94</f>
        <v>10479.924000000001</v>
      </c>
    </row>
    <row r="95" spans="1:19" ht="25.5" customHeight="1">
      <c r="A95" s="48"/>
      <c r="B95" s="20" t="s">
        <v>23</v>
      </c>
      <c r="C95" s="41">
        <f t="shared" ref="C95:H95" si="12">SUM(C94:C94)</f>
        <v>10961.496000000001</v>
      </c>
      <c r="D95" s="72">
        <f t="shared" si="12"/>
        <v>481.57200000000006</v>
      </c>
      <c r="E95" s="41">
        <f t="shared" si="12"/>
        <v>0</v>
      </c>
      <c r="F95" s="41">
        <f t="shared" si="12"/>
        <v>0</v>
      </c>
      <c r="G95" s="73">
        <f t="shared" si="12"/>
        <v>0</v>
      </c>
      <c r="H95" s="41">
        <f t="shared" si="12"/>
        <v>10479.924000000001</v>
      </c>
    </row>
    <row r="96" spans="1:19" ht="15" customHeight="1">
      <c r="A96" s="283"/>
      <c r="B96" s="283"/>
      <c r="C96" s="283"/>
      <c r="D96" s="283"/>
      <c r="E96" s="283"/>
      <c r="F96" s="283"/>
      <c r="G96" s="284"/>
      <c r="H96" s="283"/>
    </row>
    <row r="97" spans="1:8" ht="15" customHeight="1">
      <c r="A97" s="283"/>
      <c r="B97" s="283"/>
      <c r="C97" s="283"/>
      <c r="D97" s="283"/>
      <c r="E97" s="283"/>
      <c r="F97" s="283"/>
      <c r="G97" s="284"/>
      <c r="H97" s="283"/>
    </row>
    <row r="98" spans="1:8" ht="15" customHeight="1">
      <c r="A98" s="285"/>
      <c r="B98" s="285"/>
      <c r="C98" s="285"/>
      <c r="D98" s="285"/>
      <c r="E98" s="285"/>
      <c r="F98" s="285"/>
      <c r="G98" s="286"/>
      <c r="H98" s="285"/>
    </row>
    <row r="99" spans="1:8" ht="15" customHeight="1">
      <c r="A99" s="276"/>
      <c r="B99" s="276"/>
      <c r="C99" s="276"/>
      <c r="D99" s="277"/>
      <c r="E99" s="276"/>
      <c r="F99" s="276"/>
      <c r="G99" s="278"/>
      <c r="H99" s="276"/>
    </row>
    <row r="100" spans="1:8" ht="24.75" customHeight="1">
      <c r="A100" s="50" t="s">
        <v>3</v>
      </c>
      <c r="B100" s="50" t="s">
        <v>4</v>
      </c>
      <c r="C100" s="50" t="s">
        <v>5</v>
      </c>
      <c r="D100" s="9" t="s">
        <v>6</v>
      </c>
      <c r="E100" s="50" t="s">
        <v>7</v>
      </c>
      <c r="F100" s="75" t="s">
        <v>8</v>
      </c>
      <c r="G100" s="28" t="str">
        <f>G93</f>
        <v>COMPENSACIONES</v>
      </c>
      <c r="H100" s="50" t="s">
        <v>10</v>
      </c>
    </row>
    <row r="101" spans="1:8" ht="54.95" customHeight="1">
      <c r="A101" s="45" t="s">
        <v>67</v>
      </c>
      <c r="B101" s="57" t="s">
        <v>68</v>
      </c>
      <c r="C101" s="46">
        <f>10038*1.04*1.05</f>
        <v>10961.496000000001</v>
      </c>
      <c r="D101" s="77">
        <f>441*1.04*1.05</f>
        <v>481.57200000000006</v>
      </c>
      <c r="E101" s="46"/>
      <c r="F101" s="46"/>
      <c r="G101" s="78"/>
      <c r="H101" s="46">
        <f>C101-D101+E101+G101</f>
        <v>10479.924000000001</v>
      </c>
    </row>
    <row r="102" spans="1:8" ht="51" customHeight="1">
      <c r="A102" s="34" t="s">
        <v>69</v>
      </c>
      <c r="B102" s="33" t="s">
        <v>61</v>
      </c>
      <c r="C102" s="29">
        <f>6405*1.04*1.05</f>
        <v>6994.26</v>
      </c>
      <c r="D102" s="31">
        <f>175*1.04*1.05</f>
        <v>191.1</v>
      </c>
      <c r="E102" s="64"/>
      <c r="F102" s="64"/>
      <c r="G102" s="79"/>
      <c r="H102" s="40">
        <f t="shared" ref="H102:H107" si="13">C102-D102+E102+F102+G102</f>
        <v>6803.16</v>
      </c>
    </row>
    <row r="103" spans="1:8" ht="51" customHeight="1">
      <c r="A103" s="32" t="s">
        <v>70</v>
      </c>
      <c r="B103" s="17" t="s">
        <v>33</v>
      </c>
      <c r="C103" s="112">
        <f>4740*1.04*1.05</f>
        <v>5176.0800000000008</v>
      </c>
      <c r="D103" s="126"/>
      <c r="E103" s="40">
        <v>90</v>
      </c>
      <c r="F103" s="40"/>
      <c r="G103" s="79"/>
      <c r="H103" s="40">
        <f t="shared" si="13"/>
        <v>5266.0800000000008</v>
      </c>
    </row>
    <row r="104" spans="1:8" ht="51" customHeight="1">
      <c r="A104" s="34" t="s">
        <v>71</v>
      </c>
      <c r="B104" s="33" t="s">
        <v>61</v>
      </c>
      <c r="C104" s="29">
        <f>4790*1.04*1.05</f>
        <v>5230.68</v>
      </c>
      <c r="D104" s="31"/>
      <c r="E104" s="64">
        <v>90</v>
      </c>
      <c r="F104" s="64"/>
      <c r="G104" s="79"/>
      <c r="H104" s="40">
        <f t="shared" si="13"/>
        <v>5320.68</v>
      </c>
    </row>
    <row r="105" spans="1:8" ht="51" customHeight="1">
      <c r="A105" s="34" t="s">
        <v>72</v>
      </c>
      <c r="B105" s="33" t="s">
        <v>61</v>
      </c>
      <c r="C105" s="29">
        <f>4552*1.04*1.05</f>
        <v>4970.7840000000006</v>
      </c>
      <c r="D105" s="31"/>
      <c r="E105" s="40">
        <v>90</v>
      </c>
      <c r="F105" s="40"/>
      <c r="G105" s="79"/>
      <c r="H105" s="40">
        <f t="shared" si="13"/>
        <v>5060.7840000000006</v>
      </c>
    </row>
    <row r="106" spans="1:8" ht="51" customHeight="1">
      <c r="A106" s="34" t="s">
        <v>73</v>
      </c>
      <c r="B106" s="33" t="s">
        <v>61</v>
      </c>
      <c r="C106" s="29">
        <f>4618*1.04*1.05</f>
        <v>5042.8560000000007</v>
      </c>
      <c r="D106" s="31"/>
      <c r="E106" s="40">
        <v>90</v>
      </c>
      <c r="F106" s="40"/>
      <c r="G106" s="79"/>
      <c r="H106" s="40">
        <f>C106-D106+E106+G106</f>
        <v>5132.8560000000007</v>
      </c>
    </row>
    <row r="107" spans="1:8" ht="51" customHeight="1">
      <c r="A107" s="34" t="s">
        <v>74</v>
      </c>
      <c r="B107" s="33" t="s">
        <v>75</v>
      </c>
      <c r="C107" s="113">
        <f>6928*1.04*1.05</f>
        <v>7565.3760000000002</v>
      </c>
      <c r="D107" s="127">
        <f>220*1.04*1.05</f>
        <v>240.24</v>
      </c>
      <c r="E107" s="47"/>
      <c r="F107" s="47"/>
      <c r="G107" s="81"/>
      <c r="H107" s="47">
        <f t="shared" si="13"/>
        <v>7325.1360000000004</v>
      </c>
    </row>
    <row r="108" spans="1:8" ht="25.5" customHeight="1">
      <c r="A108" s="48"/>
      <c r="B108" s="20" t="s">
        <v>23</v>
      </c>
      <c r="C108" s="49">
        <f t="shared" ref="C108:H108" si="14">SUM(C101:C107)</f>
        <v>45941.532000000007</v>
      </c>
      <c r="D108" s="82">
        <f t="shared" si="14"/>
        <v>912.91200000000003</v>
      </c>
      <c r="E108" s="49">
        <f t="shared" si="14"/>
        <v>360</v>
      </c>
      <c r="F108" s="49">
        <f t="shared" si="14"/>
        <v>0</v>
      </c>
      <c r="G108" s="83">
        <f t="shared" si="14"/>
        <v>0</v>
      </c>
      <c r="H108" s="49">
        <f t="shared" si="14"/>
        <v>45388.62</v>
      </c>
    </row>
    <row r="109" spans="1:8" ht="15" customHeight="1">
      <c r="A109" s="283"/>
      <c r="B109" s="283"/>
      <c r="C109" s="283"/>
      <c r="D109" s="283"/>
      <c r="E109" s="283"/>
      <c r="F109" s="283"/>
      <c r="G109" s="284"/>
      <c r="H109" s="283"/>
    </row>
    <row r="110" spans="1:8" ht="15" customHeight="1">
      <c r="A110" s="283"/>
      <c r="B110" s="283"/>
      <c r="C110" s="283"/>
      <c r="D110" s="283"/>
      <c r="E110" s="283"/>
      <c r="F110" s="283"/>
      <c r="G110" s="284"/>
      <c r="H110" s="283"/>
    </row>
    <row r="111" spans="1:8" ht="15" customHeight="1">
      <c r="A111" s="285"/>
      <c r="B111" s="285"/>
      <c r="C111" s="285"/>
      <c r="D111" s="285"/>
      <c r="E111" s="285"/>
      <c r="F111" s="285"/>
      <c r="G111" s="286"/>
      <c r="H111" s="285"/>
    </row>
    <row r="112" spans="1:8" ht="15" customHeight="1">
      <c r="A112" s="276"/>
      <c r="B112" s="276"/>
      <c r="C112" s="276"/>
      <c r="D112" s="277"/>
      <c r="E112" s="276"/>
      <c r="F112" s="276"/>
      <c r="G112" s="278"/>
      <c r="H112" s="276"/>
    </row>
    <row r="113" spans="1:8" ht="24.75" customHeight="1">
      <c r="A113" s="50" t="s">
        <v>3</v>
      </c>
      <c r="B113" s="50" t="s">
        <v>4</v>
      </c>
      <c r="C113" s="50" t="s">
        <v>5</v>
      </c>
      <c r="D113" s="9" t="s">
        <v>6</v>
      </c>
      <c r="E113" s="50" t="s">
        <v>7</v>
      </c>
      <c r="F113" s="75" t="s">
        <v>8</v>
      </c>
      <c r="G113" s="28" t="str">
        <f>G100</f>
        <v>COMPENSACIONES</v>
      </c>
      <c r="H113" s="50" t="s">
        <v>10</v>
      </c>
    </row>
    <row r="114" spans="1:8" ht="51" customHeight="1">
      <c r="A114" s="61" t="s">
        <v>76</v>
      </c>
      <c r="B114" s="44" t="s">
        <v>59</v>
      </c>
      <c r="C114" s="109">
        <f>6720*1.04*1.05</f>
        <v>7338.2400000000007</v>
      </c>
      <c r="D114" s="128">
        <f>220*1.04*1.05</f>
        <v>240.24</v>
      </c>
      <c r="E114" s="46"/>
      <c r="F114" s="46"/>
      <c r="G114" s="78"/>
      <c r="H114" s="46">
        <f>C114-D114+E114+G114</f>
        <v>7098.0000000000009</v>
      </c>
    </row>
    <row r="115" spans="1:8" ht="63" customHeight="1">
      <c r="A115" s="18" t="s">
        <v>77</v>
      </c>
      <c r="B115" s="16" t="s">
        <v>78</v>
      </c>
      <c r="C115" s="29">
        <f>5000</f>
        <v>5000</v>
      </c>
      <c r="D115" s="69"/>
      <c r="E115" s="40"/>
      <c r="F115" s="40"/>
      <c r="G115" s="79"/>
      <c r="H115" s="40">
        <f>C115-D115+E115+G115</f>
        <v>5000</v>
      </c>
    </row>
    <row r="116" spans="1:8" ht="25.5" customHeight="1">
      <c r="A116" s="48"/>
      <c r="B116" s="20" t="s">
        <v>23</v>
      </c>
      <c r="C116" s="41">
        <f>SUM(C114:C115)</f>
        <v>12338.240000000002</v>
      </c>
      <c r="D116" s="72">
        <f t="shared" ref="D116:H116" si="15">SUM(D114:D115)</f>
        <v>240.24</v>
      </c>
      <c r="E116" s="41">
        <f t="shared" si="15"/>
        <v>0</v>
      </c>
      <c r="F116" s="41">
        <f t="shared" si="15"/>
        <v>0</v>
      </c>
      <c r="G116" s="73">
        <f t="shared" si="15"/>
        <v>0</v>
      </c>
      <c r="H116" s="41">
        <f t="shared" si="15"/>
        <v>12098</v>
      </c>
    </row>
    <row r="117" spans="1:8" ht="15" customHeight="1">
      <c r="A117" s="283"/>
      <c r="B117" s="283"/>
      <c r="C117" s="283"/>
      <c r="D117" s="283"/>
      <c r="E117" s="283"/>
      <c r="F117" s="283"/>
      <c r="G117" s="284"/>
      <c r="H117" s="283"/>
    </row>
    <row r="118" spans="1:8" ht="15" customHeight="1">
      <c r="A118" s="283"/>
      <c r="B118" s="283"/>
      <c r="C118" s="283"/>
      <c r="D118" s="283"/>
      <c r="E118" s="283"/>
      <c r="F118" s="283"/>
      <c r="G118" s="284"/>
      <c r="H118" s="283"/>
    </row>
    <row r="119" spans="1:8" ht="15" customHeight="1">
      <c r="A119" s="285"/>
      <c r="B119" s="285"/>
      <c r="C119" s="285"/>
      <c r="D119" s="285"/>
      <c r="E119" s="285"/>
      <c r="F119" s="285"/>
      <c r="G119" s="286"/>
      <c r="H119" s="285"/>
    </row>
    <row r="120" spans="1:8" ht="15" customHeight="1">
      <c r="A120" s="276"/>
      <c r="B120" s="276"/>
      <c r="C120" s="276"/>
      <c r="D120" s="277"/>
      <c r="E120" s="276"/>
      <c r="F120" s="276"/>
      <c r="G120" s="278"/>
      <c r="H120" s="276"/>
    </row>
    <row r="121" spans="1:8" ht="24.75" customHeight="1">
      <c r="A121" s="50" t="s">
        <v>3</v>
      </c>
      <c r="B121" s="50" t="s">
        <v>4</v>
      </c>
      <c r="C121" s="50" t="s">
        <v>5</v>
      </c>
      <c r="D121" s="9" t="s">
        <v>6</v>
      </c>
      <c r="E121" s="50" t="s">
        <v>7</v>
      </c>
      <c r="F121" s="75" t="s">
        <v>8</v>
      </c>
      <c r="G121" s="28" t="str">
        <f>G113</f>
        <v>COMPENSACIONES</v>
      </c>
      <c r="H121" s="50" t="s">
        <v>10</v>
      </c>
    </row>
    <row r="122" spans="1:8" ht="9.75" customHeight="1">
      <c r="A122" s="114"/>
      <c r="B122" s="44"/>
      <c r="C122" s="46"/>
      <c r="D122" s="77"/>
      <c r="E122" s="46"/>
      <c r="F122" s="46"/>
      <c r="G122" s="92"/>
      <c r="H122" s="46"/>
    </row>
    <row r="123" spans="1:8" ht="60" customHeight="1">
      <c r="A123" s="45" t="s">
        <v>79</v>
      </c>
      <c r="B123" s="57" t="s">
        <v>66</v>
      </c>
      <c r="C123" s="46">
        <f>10038*1.04*1.05</f>
        <v>10961.496000000001</v>
      </c>
      <c r="D123" s="77">
        <f>441*1.04*1.05</f>
        <v>481.57200000000006</v>
      </c>
      <c r="E123" s="46"/>
      <c r="F123" s="46"/>
      <c r="G123" s="78"/>
      <c r="H123" s="46">
        <f>C123-D123+E123+G123</f>
        <v>10479.924000000001</v>
      </c>
    </row>
    <row r="124" spans="1:8" ht="45" customHeight="1">
      <c r="A124" s="36" t="s">
        <v>80</v>
      </c>
      <c r="B124" s="37" t="s">
        <v>81</v>
      </c>
      <c r="C124" s="29">
        <f>'[5]MADRE BANCO'!$G$85</f>
        <v>3990</v>
      </c>
      <c r="D124" s="31"/>
      <c r="E124" s="64"/>
      <c r="F124" s="64"/>
      <c r="G124" s="79"/>
      <c r="H124" s="64">
        <f>C124-D124+E124+G124</f>
        <v>3990</v>
      </c>
    </row>
    <row r="125" spans="1:8" ht="51" customHeight="1">
      <c r="A125" s="32" t="s">
        <v>82</v>
      </c>
      <c r="B125" s="14" t="s">
        <v>83</v>
      </c>
      <c r="C125" s="29">
        <f>4415*1.05*1.05</f>
        <v>4867.5375000000004</v>
      </c>
      <c r="D125" s="31"/>
      <c r="E125" s="40">
        <v>90</v>
      </c>
      <c r="F125" s="40"/>
      <c r="G125" s="79"/>
      <c r="H125" s="64">
        <f>C125-D125+E125+G125</f>
        <v>4957.5375000000004</v>
      </c>
    </row>
    <row r="126" spans="1:8" ht="51" customHeight="1">
      <c r="A126" s="32" t="s">
        <v>84</v>
      </c>
      <c r="B126" s="115" t="s">
        <v>85</v>
      </c>
      <c r="C126" s="29">
        <f>2000*1.05</f>
        <v>2100</v>
      </c>
      <c r="D126" s="31"/>
      <c r="E126" s="40">
        <v>167</v>
      </c>
      <c r="F126" s="40"/>
      <c r="G126" s="79"/>
      <c r="H126" s="64">
        <f>C126-D126+E126+G126</f>
        <v>2267</v>
      </c>
    </row>
    <row r="127" spans="1:8" ht="51" customHeight="1">
      <c r="A127" s="32" t="s">
        <v>86</v>
      </c>
      <c r="B127" s="17" t="s">
        <v>83</v>
      </c>
      <c r="C127" s="116">
        <f>2756*1.05*1.05</f>
        <v>3038.4900000000002</v>
      </c>
      <c r="D127" s="129"/>
      <c r="E127" s="40">
        <v>167</v>
      </c>
      <c r="F127" s="40"/>
      <c r="G127" s="79"/>
      <c r="H127" s="64">
        <f>C127-D127+E127+G127</f>
        <v>3205.4900000000002</v>
      </c>
    </row>
    <row r="128" spans="1:8" ht="25.5" customHeight="1">
      <c r="A128" s="48"/>
      <c r="B128" s="117" t="s">
        <v>23</v>
      </c>
      <c r="C128" s="118">
        <f t="shared" ref="C128:H128" si="16">SUM(C123:C127)</f>
        <v>24957.523500000003</v>
      </c>
      <c r="D128" s="130">
        <f t="shared" si="16"/>
        <v>481.57200000000006</v>
      </c>
      <c r="E128" s="118">
        <f t="shared" si="16"/>
        <v>424</v>
      </c>
      <c r="F128" s="118">
        <f t="shared" si="16"/>
        <v>0</v>
      </c>
      <c r="G128" s="131">
        <f t="shared" si="16"/>
        <v>0</v>
      </c>
      <c r="H128" s="118">
        <f t="shared" si="16"/>
        <v>24899.951500000003</v>
      </c>
    </row>
    <row r="129" spans="1:8" ht="15" customHeight="1">
      <c r="A129" s="283"/>
      <c r="B129" s="283"/>
      <c r="C129" s="283"/>
      <c r="D129" s="283"/>
      <c r="E129" s="283"/>
      <c r="F129" s="283"/>
      <c r="G129" s="284"/>
      <c r="H129" s="283"/>
    </row>
    <row r="130" spans="1:8" ht="15" customHeight="1">
      <c r="A130" s="283"/>
      <c r="B130" s="283"/>
      <c r="C130" s="283"/>
      <c r="D130" s="283"/>
      <c r="E130" s="283"/>
      <c r="F130" s="283"/>
      <c r="G130" s="284"/>
      <c r="H130" s="283"/>
    </row>
    <row r="131" spans="1:8" ht="15" customHeight="1">
      <c r="A131" s="285"/>
      <c r="B131" s="285"/>
      <c r="C131" s="285"/>
      <c r="D131" s="285"/>
      <c r="E131" s="285"/>
      <c r="F131" s="285"/>
      <c r="G131" s="286"/>
      <c r="H131" s="285"/>
    </row>
    <row r="132" spans="1:8" ht="15" customHeight="1">
      <c r="A132" s="276"/>
      <c r="B132" s="276"/>
      <c r="C132" s="276"/>
      <c r="D132" s="277"/>
      <c r="E132" s="276"/>
      <c r="F132" s="276"/>
      <c r="G132" s="278"/>
      <c r="H132" s="276"/>
    </row>
    <row r="133" spans="1:8" ht="24.75" customHeight="1">
      <c r="A133" s="50" t="s">
        <v>3</v>
      </c>
      <c r="B133" s="50" t="s">
        <v>4</v>
      </c>
      <c r="C133" s="50" t="s">
        <v>5</v>
      </c>
      <c r="D133" s="9" t="s">
        <v>6</v>
      </c>
      <c r="E133" s="50" t="s">
        <v>7</v>
      </c>
      <c r="F133" s="75" t="s">
        <v>8</v>
      </c>
      <c r="G133" s="28" t="str">
        <f>G121</f>
        <v>COMPENSACIONES</v>
      </c>
      <c r="H133" s="50" t="s">
        <v>10</v>
      </c>
    </row>
    <row r="134" spans="1:8" ht="51" customHeight="1">
      <c r="A134" s="132" t="s">
        <v>87</v>
      </c>
      <c r="B134" s="57" t="s">
        <v>66</v>
      </c>
      <c r="C134" s="46">
        <f>10038*1.04*1.05</f>
        <v>10961.496000000001</v>
      </c>
      <c r="D134" s="77">
        <f>441*1.04*1.05</f>
        <v>481.57200000000006</v>
      </c>
      <c r="E134" s="46"/>
      <c r="F134" s="46"/>
      <c r="G134" s="78"/>
      <c r="H134" s="46">
        <f>C134-D134+E134+G134</f>
        <v>10479.924000000001</v>
      </c>
    </row>
    <row r="135" spans="1:8" ht="56.1" customHeight="1">
      <c r="A135" s="34" t="s">
        <v>88</v>
      </c>
      <c r="B135" s="33" t="s">
        <v>89</v>
      </c>
      <c r="C135" s="133">
        <f>5765*1.04*1.05</f>
        <v>6295.380000000001</v>
      </c>
      <c r="D135" s="31">
        <f>299*1.04*1.05</f>
        <v>326.50800000000004</v>
      </c>
      <c r="E135" s="64"/>
      <c r="F135" s="64"/>
      <c r="G135" s="79"/>
      <c r="H135" s="64">
        <f>C135-D135+E135+G135</f>
        <v>5968.8720000000012</v>
      </c>
    </row>
    <row r="136" spans="1:8" ht="51" customHeight="1">
      <c r="A136" s="34" t="s">
        <v>90</v>
      </c>
      <c r="B136" s="33" t="s">
        <v>89</v>
      </c>
      <c r="C136" s="134">
        <f>4310*1.04*1.05</f>
        <v>4706.5200000000004</v>
      </c>
      <c r="D136" s="31"/>
      <c r="E136" s="64">
        <v>90</v>
      </c>
      <c r="F136" s="64"/>
      <c r="G136" s="79"/>
      <c r="H136" s="64">
        <f t="shared" ref="H136:H139" si="17">C136-D136+E136+G136</f>
        <v>4796.5200000000004</v>
      </c>
    </row>
    <row r="137" spans="1:8" ht="51" customHeight="1">
      <c r="A137" s="34" t="s">
        <v>91</v>
      </c>
      <c r="B137" s="33" t="s">
        <v>92</v>
      </c>
      <c r="C137" s="134">
        <f>4310*1.04*1.05</f>
        <v>4706.5200000000004</v>
      </c>
      <c r="D137" s="31"/>
      <c r="E137" s="64">
        <v>90</v>
      </c>
      <c r="F137" s="64"/>
      <c r="G137" s="79"/>
      <c r="H137" s="64">
        <f t="shared" si="17"/>
        <v>4796.5200000000004</v>
      </c>
    </row>
    <row r="138" spans="1:8" ht="51" customHeight="1">
      <c r="A138" s="32" t="s">
        <v>93</v>
      </c>
      <c r="B138" s="33" t="s">
        <v>94</v>
      </c>
      <c r="C138" s="64">
        <f>3465*1.05</f>
        <v>3638.25</v>
      </c>
      <c r="D138" s="31"/>
      <c r="E138" s="40">
        <v>90</v>
      </c>
      <c r="F138" s="40"/>
      <c r="G138" s="79"/>
      <c r="H138" s="64">
        <f t="shared" si="17"/>
        <v>3728.25</v>
      </c>
    </row>
    <row r="139" spans="1:8" ht="54" customHeight="1">
      <c r="A139" s="34" t="s">
        <v>95</v>
      </c>
      <c r="B139" s="33" t="s">
        <v>89</v>
      </c>
      <c r="C139" s="135">
        <f>4310*1.04*1.05</f>
        <v>4706.5200000000004</v>
      </c>
      <c r="D139" s="127"/>
      <c r="E139" s="47">
        <v>90</v>
      </c>
      <c r="F139" s="47"/>
      <c r="G139" s="81"/>
      <c r="H139" s="47">
        <f t="shared" si="17"/>
        <v>4796.5200000000004</v>
      </c>
    </row>
    <row r="140" spans="1:8" ht="25.5" customHeight="1">
      <c r="A140" s="136"/>
      <c r="B140" s="20" t="s">
        <v>23</v>
      </c>
      <c r="C140" s="137">
        <f>SUM(C134:C139)</f>
        <v>35014.686000000002</v>
      </c>
      <c r="D140" s="148">
        <f t="shared" ref="D140:H140" si="18">SUM(D134:D139)</f>
        <v>808.08000000000015</v>
      </c>
      <c r="E140" s="137">
        <f t="shared" si="18"/>
        <v>360</v>
      </c>
      <c r="F140" s="137">
        <f t="shared" si="18"/>
        <v>0</v>
      </c>
      <c r="G140" s="149">
        <f t="shared" si="18"/>
        <v>0</v>
      </c>
      <c r="H140" s="137">
        <f t="shared" si="18"/>
        <v>34566.606</v>
      </c>
    </row>
    <row r="141" spans="1:8" ht="15" customHeight="1">
      <c r="A141" s="283"/>
      <c r="B141" s="283"/>
      <c r="C141" s="283"/>
      <c r="D141" s="283"/>
      <c r="E141" s="283"/>
      <c r="F141" s="283"/>
      <c r="G141" s="284"/>
      <c r="H141" s="283"/>
    </row>
    <row r="142" spans="1:8" ht="15" customHeight="1">
      <c r="A142" s="283"/>
      <c r="B142" s="283"/>
      <c r="C142" s="283"/>
      <c r="D142" s="283"/>
      <c r="E142" s="283"/>
      <c r="F142" s="283"/>
      <c r="G142" s="284"/>
      <c r="H142" s="283"/>
    </row>
    <row r="143" spans="1:8" ht="15" customHeight="1">
      <c r="A143" s="285"/>
      <c r="B143" s="285"/>
      <c r="C143" s="285"/>
      <c r="D143" s="285"/>
      <c r="E143" s="285"/>
      <c r="F143" s="285"/>
      <c r="G143" s="286"/>
      <c r="H143" s="285"/>
    </row>
    <row r="144" spans="1:8" ht="15" customHeight="1">
      <c r="A144" s="276"/>
      <c r="B144" s="276"/>
      <c r="C144" s="276"/>
      <c r="D144" s="277"/>
      <c r="E144" s="276"/>
      <c r="F144" s="276"/>
      <c r="G144" s="278"/>
      <c r="H144" s="276"/>
    </row>
    <row r="145" spans="1:8" ht="24.75" customHeight="1">
      <c r="A145" s="50" t="s">
        <v>3</v>
      </c>
      <c r="B145" s="50" t="s">
        <v>4</v>
      </c>
      <c r="C145" s="50" t="s">
        <v>5</v>
      </c>
      <c r="D145" s="9" t="s">
        <v>6</v>
      </c>
      <c r="E145" s="50" t="s">
        <v>7</v>
      </c>
      <c r="F145" s="75" t="s">
        <v>8</v>
      </c>
      <c r="G145" s="28" t="str">
        <f>G133</f>
        <v>COMPENSACIONES</v>
      </c>
      <c r="H145" s="50" t="s">
        <v>10</v>
      </c>
    </row>
    <row r="146" spans="1:8" ht="56.1" customHeight="1">
      <c r="A146" s="132" t="s">
        <v>96</v>
      </c>
      <c r="B146" s="57" t="s">
        <v>66</v>
      </c>
      <c r="C146" s="46">
        <f>10038*1.04*1.05</f>
        <v>10961.496000000001</v>
      </c>
      <c r="D146" s="77">
        <f>441*1.04*1.05</f>
        <v>481.57200000000006</v>
      </c>
      <c r="E146" s="46"/>
      <c r="F146" s="46"/>
      <c r="G146" s="78"/>
      <c r="H146" s="46">
        <f>C146-D146+E146+F146+G146</f>
        <v>10479.924000000001</v>
      </c>
    </row>
    <row r="147" spans="1:8" ht="50.25" customHeight="1">
      <c r="A147" s="32" t="s">
        <v>97</v>
      </c>
      <c r="B147" s="33" t="s">
        <v>98</v>
      </c>
      <c r="C147" s="29">
        <f>3969*1.04*1.05</f>
        <v>4334.1480000000001</v>
      </c>
      <c r="D147" s="31"/>
      <c r="E147" s="64">
        <v>140</v>
      </c>
      <c r="F147" s="64"/>
      <c r="G147" s="79"/>
      <c r="H147" s="64">
        <f>C147-D147+E147+F147+G147</f>
        <v>4474.1480000000001</v>
      </c>
    </row>
    <row r="148" spans="1:8" ht="51" customHeight="1">
      <c r="A148" s="34" t="s">
        <v>99</v>
      </c>
      <c r="B148" s="33" t="s">
        <v>100</v>
      </c>
      <c r="C148" s="29">
        <f>6118*1.04*1.05</f>
        <v>6680.8560000000007</v>
      </c>
      <c r="D148" s="31">
        <f>456*1.04*1.05</f>
        <v>497.95200000000006</v>
      </c>
      <c r="E148" s="40"/>
      <c r="F148" s="40"/>
      <c r="G148" s="79"/>
      <c r="H148" s="64">
        <f>C148-D148+E148+F148+G148</f>
        <v>6182.9040000000005</v>
      </c>
    </row>
    <row r="149" spans="1:8" ht="51" customHeight="1">
      <c r="A149" s="34" t="s">
        <v>101</v>
      </c>
      <c r="B149" s="33" t="s">
        <v>100</v>
      </c>
      <c r="C149" s="138">
        <f>6468*1.04*1.05</f>
        <v>7063.0560000000005</v>
      </c>
      <c r="D149" s="31">
        <f>456*1.04*1.05</f>
        <v>497.95200000000006</v>
      </c>
      <c r="E149" s="40"/>
      <c r="F149" s="40"/>
      <c r="G149" s="79"/>
      <c r="H149" s="64">
        <f t="shared" ref="H149:H152" si="19">C149-D149+E149+F149+G149</f>
        <v>6565.1040000000003</v>
      </c>
    </row>
    <row r="150" spans="1:8" ht="51" customHeight="1">
      <c r="A150" s="139" t="s">
        <v>102</v>
      </c>
      <c r="B150" s="33" t="s">
        <v>100</v>
      </c>
      <c r="C150" s="140">
        <f>6228*1.04*1.05</f>
        <v>6800.9760000000006</v>
      </c>
      <c r="D150" s="31">
        <f>456*1.04*1.05</f>
        <v>497.95200000000006</v>
      </c>
      <c r="E150" s="150"/>
      <c r="F150" s="150"/>
      <c r="G150" s="79"/>
      <c r="H150" s="64">
        <f t="shared" si="19"/>
        <v>6303.0240000000003</v>
      </c>
    </row>
    <row r="151" spans="1:8" ht="51" customHeight="1">
      <c r="A151" s="139" t="s">
        <v>103</v>
      </c>
      <c r="B151" s="141" t="s">
        <v>104</v>
      </c>
      <c r="C151" s="142">
        <f>4811.2*1.05</f>
        <v>5051.76</v>
      </c>
      <c r="D151" s="151"/>
      <c r="E151" s="150">
        <v>90</v>
      </c>
      <c r="F151" s="150"/>
      <c r="G151" s="79"/>
      <c r="H151" s="64">
        <f t="shared" si="19"/>
        <v>5141.76</v>
      </c>
    </row>
    <row r="152" spans="1:8" ht="54.95" customHeight="1">
      <c r="A152" s="143" t="s">
        <v>105</v>
      </c>
      <c r="B152" s="33" t="s">
        <v>100</v>
      </c>
      <c r="C152" s="113">
        <f>5997*1.04*1.05</f>
        <v>6548.7240000000002</v>
      </c>
      <c r="D152" s="127">
        <f>456*1.04*1.05</f>
        <v>497.95200000000006</v>
      </c>
      <c r="E152" s="152"/>
      <c r="F152" s="152"/>
      <c r="G152" s="81"/>
      <c r="H152" s="47">
        <f t="shared" si="19"/>
        <v>6050.7719999999999</v>
      </c>
    </row>
    <row r="153" spans="1:8" ht="25.5" customHeight="1">
      <c r="A153" s="48"/>
      <c r="B153" s="20" t="s">
        <v>23</v>
      </c>
      <c r="C153" s="49">
        <f>SUM(C146:C152)</f>
        <v>47441.016000000003</v>
      </c>
      <c r="D153" s="82">
        <f t="shared" ref="D153:H153" si="20">SUM(D146:D152)</f>
        <v>2473.38</v>
      </c>
      <c r="E153" s="49">
        <f t="shared" si="20"/>
        <v>230</v>
      </c>
      <c r="F153" s="49">
        <f t="shared" si="20"/>
        <v>0</v>
      </c>
      <c r="G153" s="83">
        <f t="shared" si="20"/>
        <v>0</v>
      </c>
      <c r="H153" s="49">
        <f t="shared" si="20"/>
        <v>45197.635999999999</v>
      </c>
    </row>
    <row r="154" spans="1:8" ht="15" customHeight="1">
      <c r="A154" s="283"/>
      <c r="B154" s="283"/>
      <c r="C154" s="283"/>
      <c r="D154" s="283"/>
      <c r="E154" s="283"/>
      <c r="F154" s="283"/>
      <c r="G154" s="284"/>
      <c r="H154" s="283"/>
    </row>
    <row r="155" spans="1:8" ht="15" customHeight="1">
      <c r="A155" s="283"/>
      <c r="B155" s="283"/>
      <c r="C155" s="283"/>
      <c r="D155" s="283"/>
      <c r="E155" s="283"/>
      <c r="F155" s="283"/>
      <c r="G155" s="284"/>
      <c r="H155" s="283"/>
    </row>
    <row r="156" spans="1:8" ht="15" customHeight="1">
      <c r="A156" s="285"/>
      <c r="B156" s="285"/>
      <c r="C156" s="285"/>
      <c r="D156" s="285"/>
      <c r="E156" s="285"/>
      <c r="F156" s="285"/>
      <c r="G156" s="286"/>
      <c r="H156" s="285"/>
    </row>
    <row r="157" spans="1:8" ht="15" customHeight="1">
      <c r="A157" s="276"/>
      <c r="B157" s="276"/>
      <c r="C157" s="276"/>
      <c r="D157" s="277"/>
      <c r="E157" s="276"/>
      <c r="F157" s="276"/>
      <c r="G157" s="278"/>
      <c r="H157" s="276"/>
    </row>
    <row r="158" spans="1:8" ht="24.75" customHeight="1">
      <c r="A158" s="50" t="s">
        <v>3</v>
      </c>
      <c r="B158" s="50" t="s">
        <v>4</v>
      </c>
      <c r="C158" s="50" t="s">
        <v>5</v>
      </c>
      <c r="D158" s="9" t="s">
        <v>6</v>
      </c>
      <c r="E158" s="50" t="s">
        <v>7</v>
      </c>
      <c r="F158" s="75" t="s">
        <v>8</v>
      </c>
      <c r="G158" s="28" t="str">
        <f>G145</f>
        <v>COMPENSACIONES</v>
      </c>
      <c r="H158" s="50" t="s">
        <v>10</v>
      </c>
    </row>
    <row r="159" spans="1:8" ht="51" customHeight="1">
      <c r="A159" s="61" t="s">
        <v>106</v>
      </c>
      <c r="B159" s="144" t="s">
        <v>68</v>
      </c>
      <c r="C159" s="62">
        <f>10038*1.04*1.05</f>
        <v>10961.496000000001</v>
      </c>
      <c r="D159" s="93">
        <f>441*1.04*1.05</f>
        <v>481.57200000000006</v>
      </c>
      <c r="E159" s="62"/>
      <c r="F159" s="62"/>
      <c r="G159" s="94"/>
      <c r="H159" s="62">
        <f>C159-D159+E159+G159</f>
        <v>10479.924000000001</v>
      </c>
    </row>
    <row r="160" spans="1:8" ht="25.5" customHeight="1">
      <c r="A160" s="48"/>
      <c r="B160" s="145" t="s">
        <v>23</v>
      </c>
      <c r="C160" s="137">
        <f t="shared" ref="C160:H160" si="21">SUM(C159:C159)</f>
        <v>10961.496000000001</v>
      </c>
      <c r="D160" s="148">
        <f t="shared" si="21"/>
        <v>481.57200000000006</v>
      </c>
      <c r="E160" s="137">
        <f t="shared" si="21"/>
        <v>0</v>
      </c>
      <c r="F160" s="137">
        <f t="shared" si="21"/>
        <v>0</v>
      </c>
      <c r="G160" s="149">
        <f t="shared" si="21"/>
        <v>0</v>
      </c>
      <c r="H160" s="137">
        <f t="shared" si="21"/>
        <v>10479.924000000001</v>
      </c>
    </row>
    <row r="161" spans="1:8" ht="15" customHeight="1">
      <c r="A161" s="283"/>
      <c r="B161" s="283"/>
      <c r="C161" s="283"/>
      <c r="D161" s="283"/>
      <c r="E161" s="283"/>
      <c r="F161" s="283"/>
      <c r="G161" s="284"/>
      <c r="H161" s="283"/>
    </row>
    <row r="162" spans="1:8" ht="15" customHeight="1">
      <c r="A162" s="283"/>
      <c r="B162" s="283"/>
      <c r="C162" s="283"/>
      <c r="D162" s="283"/>
      <c r="E162" s="283"/>
      <c r="F162" s="283"/>
      <c r="G162" s="284"/>
      <c r="H162" s="283"/>
    </row>
    <row r="163" spans="1:8" ht="15" customHeight="1">
      <c r="A163" s="285"/>
      <c r="B163" s="285"/>
      <c r="C163" s="285"/>
      <c r="D163" s="285"/>
      <c r="E163" s="285"/>
      <c r="F163" s="285"/>
      <c r="G163" s="286"/>
      <c r="H163" s="285"/>
    </row>
    <row r="164" spans="1:8" ht="15" customHeight="1">
      <c r="A164" s="276"/>
      <c r="B164" s="276"/>
      <c r="C164" s="276"/>
      <c r="D164" s="277"/>
      <c r="E164" s="276"/>
      <c r="F164" s="276"/>
      <c r="G164" s="278"/>
      <c r="H164" s="276"/>
    </row>
    <row r="165" spans="1:8" ht="25.5" customHeight="1">
      <c r="A165" s="50" t="s">
        <v>3</v>
      </c>
      <c r="B165" s="50" t="s">
        <v>4</v>
      </c>
      <c r="C165" s="50" t="s">
        <v>5</v>
      </c>
      <c r="D165" s="9" t="s">
        <v>6</v>
      </c>
      <c r="E165" s="50" t="s">
        <v>7</v>
      </c>
      <c r="F165" s="75" t="s">
        <v>8</v>
      </c>
      <c r="G165" s="28" t="str">
        <f>G158</f>
        <v>COMPENSACIONES</v>
      </c>
      <c r="H165" s="50" t="s">
        <v>10</v>
      </c>
    </row>
    <row r="166" spans="1:8" ht="51" customHeight="1">
      <c r="A166" s="45" t="s">
        <v>107</v>
      </c>
      <c r="B166" s="57" t="s">
        <v>66</v>
      </c>
      <c r="C166" s="46">
        <f>10038*1.04*1.05</f>
        <v>10961.496000000001</v>
      </c>
      <c r="D166" s="77">
        <f>441*1.04*1.05</f>
        <v>481.57200000000006</v>
      </c>
      <c r="E166" s="46"/>
      <c r="F166" s="46"/>
      <c r="G166" s="78"/>
      <c r="H166" s="46">
        <f>C166-D166+E166+G166</f>
        <v>10479.924000000001</v>
      </c>
    </row>
    <row r="167" spans="1:8" ht="51" customHeight="1">
      <c r="A167" s="34" t="s">
        <v>108</v>
      </c>
      <c r="B167" s="33" t="s">
        <v>27</v>
      </c>
      <c r="C167" s="113">
        <f>4641*1.04*1.05+342.03</f>
        <v>5410.0020000000004</v>
      </c>
      <c r="D167" s="127"/>
      <c r="E167" s="64">
        <v>90</v>
      </c>
      <c r="F167" s="64"/>
      <c r="G167" s="79"/>
      <c r="H167" s="64">
        <f>C167-D167+E167+G167</f>
        <v>5500.0020000000004</v>
      </c>
    </row>
    <row r="168" spans="1:8" ht="25.5" customHeight="1">
      <c r="A168" s="48"/>
      <c r="B168" s="20" t="s">
        <v>23</v>
      </c>
      <c r="C168" s="41">
        <f>SUM(C166:C167)</f>
        <v>16371.498000000001</v>
      </c>
      <c r="D168" s="72">
        <f t="shared" ref="D168:H168" si="22">SUM(D166:D167)</f>
        <v>481.57200000000006</v>
      </c>
      <c r="E168" s="41">
        <f t="shared" si="22"/>
        <v>90</v>
      </c>
      <c r="F168" s="41">
        <f t="shared" si="22"/>
        <v>0</v>
      </c>
      <c r="G168" s="73">
        <f t="shared" si="22"/>
        <v>0</v>
      </c>
      <c r="H168" s="41">
        <f t="shared" si="22"/>
        <v>15979.926000000001</v>
      </c>
    </row>
    <row r="169" spans="1:8" s="1" customFormat="1" ht="15" customHeight="1">
      <c r="A169" s="283"/>
      <c r="B169" s="283"/>
      <c r="C169" s="283"/>
      <c r="D169" s="283"/>
      <c r="E169" s="283"/>
      <c r="F169" s="283"/>
      <c r="G169" s="284"/>
      <c r="H169" s="283"/>
    </row>
    <row r="170" spans="1:8" s="1" customFormat="1" ht="15" customHeight="1">
      <c r="A170" s="283"/>
      <c r="B170" s="283"/>
      <c r="C170" s="283"/>
      <c r="D170" s="283"/>
      <c r="E170" s="283"/>
      <c r="F170" s="283"/>
      <c r="G170" s="284"/>
      <c r="H170" s="283"/>
    </row>
    <row r="171" spans="1:8" s="1" customFormat="1" ht="16.5" customHeight="1">
      <c r="A171" s="285"/>
      <c r="B171" s="285"/>
      <c r="C171" s="285"/>
      <c r="D171" s="285"/>
      <c r="E171" s="285"/>
      <c r="F171" s="285"/>
      <c r="G171" s="286"/>
      <c r="H171" s="285"/>
    </row>
    <row r="172" spans="1:8" s="1" customFormat="1" ht="15" customHeight="1">
      <c r="A172" s="276"/>
      <c r="B172" s="276"/>
      <c r="C172" s="276"/>
      <c r="D172" s="277"/>
      <c r="E172" s="276"/>
      <c r="F172" s="276"/>
      <c r="G172" s="278"/>
      <c r="H172" s="276"/>
    </row>
    <row r="173" spans="1:8" s="1" customFormat="1" ht="24.75" customHeight="1">
      <c r="A173" s="50" t="s">
        <v>3</v>
      </c>
      <c r="B173" s="50" t="s">
        <v>4</v>
      </c>
      <c r="C173" s="50" t="s">
        <v>5</v>
      </c>
      <c r="D173" s="9" t="s">
        <v>6</v>
      </c>
      <c r="E173" s="50" t="s">
        <v>7</v>
      </c>
      <c r="F173" s="75" t="s">
        <v>8</v>
      </c>
      <c r="G173" s="28" t="str">
        <f>G165</f>
        <v>COMPENSACIONES</v>
      </c>
      <c r="H173" s="50" t="s">
        <v>10</v>
      </c>
    </row>
    <row r="174" spans="1:8" s="1" customFormat="1" ht="51" customHeight="1">
      <c r="A174" s="45" t="s">
        <v>109</v>
      </c>
      <c r="B174" s="57" t="s">
        <v>59</v>
      </c>
      <c r="C174" s="46">
        <f>7005*1.04*1.05</f>
        <v>7649.46</v>
      </c>
      <c r="D174" s="77">
        <f>157*1.04*1.05</f>
        <v>171.44400000000002</v>
      </c>
      <c r="E174" s="153"/>
      <c r="F174" s="153"/>
      <c r="G174" s="154"/>
      <c r="H174" s="53">
        <f>C174-D174+E174+G174</f>
        <v>7478.0159999999996</v>
      </c>
    </row>
    <row r="175" spans="1:8" ht="25.5" customHeight="1">
      <c r="A175" s="146"/>
      <c r="B175" s="20" t="s">
        <v>23</v>
      </c>
      <c r="C175" s="41">
        <f t="shared" ref="C175:H175" si="23">SUM(C174:C174)</f>
        <v>7649.46</v>
      </c>
      <c r="D175" s="72">
        <f t="shared" si="23"/>
        <v>171.44400000000002</v>
      </c>
      <c r="E175" s="41">
        <f t="shared" si="23"/>
        <v>0</v>
      </c>
      <c r="F175" s="41">
        <f t="shared" si="23"/>
        <v>0</v>
      </c>
      <c r="G175" s="73">
        <f t="shared" si="23"/>
        <v>0</v>
      </c>
      <c r="H175" s="41">
        <f t="shared" si="23"/>
        <v>7478.0159999999996</v>
      </c>
    </row>
    <row r="176" spans="1:8" ht="15" customHeight="1">
      <c r="A176" s="283"/>
      <c r="B176" s="283"/>
      <c r="C176" s="283"/>
      <c r="D176" s="283"/>
      <c r="E176" s="283"/>
      <c r="F176" s="283"/>
      <c r="G176" s="284"/>
      <c r="H176" s="283"/>
    </row>
    <row r="177" spans="1:8" ht="15" customHeight="1">
      <c r="A177" s="283"/>
      <c r="B177" s="283"/>
      <c r="C177" s="283"/>
      <c r="D177" s="283"/>
      <c r="E177" s="283"/>
      <c r="F177" s="283"/>
      <c r="G177" s="284"/>
      <c r="H177" s="283"/>
    </row>
    <row r="178" spans="1:8" ht="15" customHeight="1">
      <c r="A178" s="285"/>
      <c r="B178" s="285"/>
      <c r="C178" s="285"/>
      <c r="D178" s="285"/>
      <c r="E178" s="285"/>
      <c r="F178" s="285"/>
      <c r="G178" s="286"/>
      <c r="H178" s="285"/>
    </row>
    <row r="179" spans="1:8" ht="15" customHeight="1">
      <c r="A179" s="276"/>
      <c r="B179" s="276"/>
      <c r="C179" s="276"/>
      <c r="D179" s="277"/>
      <c r="E179" s="276"/>
      <c r="F179" s="276"/>
      <c r="G179" s="278"/>
      <c r="H179" s="276"/>
    </row>
    <row r="180" spans="1:8" ht="24.75" customHeight="1">
      <c r="A180" s="50" t="s">
        <v>3</v>
      </c>
      <c r="B180" s="50" t="s">
        <v>4</v>
      </c>
      <c r="C180" s="50" t="s">
        <v>5</v>
      </c>
      <c r="D180" s="9" t="s">
        <v>6</v>
      </c>
      <c r="E180" s="50" t="s">
        <v>7</v>
      </c>
      <c r="F180" s="75" t="s">
        <v>8</v>
      </c>
      <c r="G180" s="28" t="str">
        <f>G173</f>
        <v>COMPENSACIONES</v>
      </c>
      <c r="H180" s="50" t="s">
        <v>10</v>
      </c>
    </row>
    <row r="181" spans="1:8" ht="51" customHeight="1">
      <c r="A181" s="147"/>
      <c r="B181" s="44"/>
      <c r="C181" s="53"/>
      <c r="D181" s="84"/>
      <c r="E181" s="53"/>
      <c r="F181" s="53"/>
      <c r="G181" s="85"/>
      <c r="H181" s="53">
        <f>C181-D181</f>
        <v>0</v>
      </c>
    </row>
    <row r="182" spans="1:8" ht="25.5" customHeight="1">
      <c r="A182" s="48"/>
      <c r="B182" s="20" t="s">
        <v>23</v>
      </c>
      <c r="C182" s="41">
        <f>SUM(C181)</f>
        <v>0</v>
      </c>
      <c r="D182" s="72">
        <f t="shared" ref="D182:H182" si="24">SUM(D181)</f>
        <v>0</v>
      </c>
      <c r="E182" s="41">
        <f t="shared" si="24"/>
        <v>0</v>
      </c>
      <c r="F182" s="41">
        <f t="shared" si="24"/>
        <v>0</v>
      </c>
      <c r="G182" s="73">
        <f t="shared" si="24"/>
        <v>0</v>
      </c>
      <c r="H182" s="41">
        <f t="shared" si="24"/>
        <v>0</v>
      </c>
    </row>
    <row r="183" spans="1:8" ht="15" customHeight="1">
      <c r="A183" s="283"/>
      <c r="B183" s="283"/>
      <c r="C183" s="283"/>
      <c r="D183" s="283"/>
      <c r="E183" s="283"/>
      <c r="F183" s="283"/>
      <c r="G183" s="284"/>
      <c r="H183" s="283"/>
    </row>
    <row r="184" spans="1:8" ht="15" customHeight="1">
      <c r="A184" s="283"/>
      <c r="B184" s="283"/>
      <c r="C184" s="283"/>
      <c r="D184" s="283"/>
      <c r="E184" s="283"/>
      <c r="F184" s="283"/>
      <c r="G184" s="284"/>
      <c r="H184" s="283"/>
    </row>
    <row r="185" spans="1:8" ht="15" customHeight="1">
      <c r="A185" s="285"/>
      <c r="B185" s="285"/>
      <c r="C185" s="285"/>
      <c r="D185" s="285"/>
      <c r="E185" s="285"/>
      <c r="F185" s="285"/>
      <c r="G185" s="286"/>
      <c r="H185" s="285"/>
    </row>
    <row r="186" spans="1:8" ht="15" customHeight="1">
      <c r="A186" s="276"/>
      <c r="B186" s="276"/>
      <c r="C186" s="276"/>
      <c r="D186" s="277"/>
      <c r="E186" s="276"/>
      <c r="F186" s="276"/>
      <c r="G186" s="278"/>
      <c r="H186" s="276"/>
    </row>
    <row r="187" spans="1:8" ht="24.75" customHeight="1">
      <c r="A187" s="50" t="s">
        <v>3</v>
      </c>
      <c r="B187" s="50" t="s">
        <v>4</v>
      </c>
      <c r="C187" s="50" t="s">
        <v>5</v>
      </c>
      <c r="D187" s="9" t="s">
        <v>6</v>
      </c>
      <c r="E187" s="50" t="s">
        <v>7</v>
      </c>
      <c r="F187" s="75" t="s">
        <v>8</v>
      </c>
      <c r="G187" s="28" t="str">
        <f>G173</f>
        <v>COMPENSACIONES</v>
      </c>
      <c r="H187" s="50" t="s">
        <v>10</v>
      </c>
    </row>
    <row r="188" spans="1:8" ht="57" customHeight="1">
      <c r="A188" s="45" t="s">
        <v>110</v>
      </c>
      <c r="B188" s="144" t="s">
        <v>68</v>
      </c>
      <c r="C188" s="46">
        <f>10038*1.04*1.05</f>
        <v>10961.496000000001</v>
      </c>
      <c r="D188" s="77">
        <f>441*1.04*1.05</f>
        <v>481.57200000000006</v>
      </c>
      <c r="E188" s="53"/>
      <c r="F188" s="53"/>
      <c r="G188" s="85"/>
      <c r="H188" s="53">
        <f>C188-D188+E188+G188</f>
        <v>10479.924000000001</v>
      </c>
    </row>
    <row r="189" spans="1:8" ht="62.1" customHeight="1">
      <c r="A189" s="34" t="s">
        <v>111</v>
      </c>
      <c r="B189" s="14" t="s">
        <v>33</v>
      </c>
      <c r="C189" s="29">
        <f>6961*1.04*1.05</f>
        <v>7601.4120000000012</v>
      </c>
      <c r="D189" s="155">
        <f>362*1.04*1.05</f>
        <v>395.30400000000003</v>
      </c>
      <c r="E189" s="156"/>
      <c r="F189" s="156"/>
      <c r="G189" s="157"/>
      <c r="H189" s="40">
        <f>C189-D189+E189+G189</f>
        <v>7206.1080000000011</v>
      </c>
    </row>
    <row r="190" spans="1:8" ht="75.95" customHeight="1">
      <c r="A190" s="34" t="s">
        <v>112</v>
      </c>
      <c r="B190" s="14" t="s">
        <v>33</v>
      </c>
      <c r="C190" s="29">
        <f>5043*1.04*1.05</f>
        <v>5506.9560000000001</v>
      </c>
      <c r="D190" s="155"/>
      <c r="E190" s="156">
        <v>90</v>
      </c>
      <c r="F190" s="156"/>
      <c r="G190" s="157"/>
      <c r="H190" s="40">
        <f t="shared" ref="H190:H192" si="25">C190-D190+E190+G190</f>
        <v>5596.9560000000001</v>
      </c>
    </row>
    <row r="191" spans="1:8" ht="54" customHeight="1">
      <c r="A191" s="34" t="s">
        <v>113</v>
      </c>
      <c r="B191" s="33" t="s">
        <v>114</v>
      </c>
      <c r="C191" s="29">
        <f>10291*1.04*1.05</f>
        <v>11237.772000000003</v>
      </c>
      <c r="D191" s="158">
        <f>441*1.04*1.05</f>
        <v>481.57200000000006</v>
      </c>
      <c r="E191" s="159"/>
      <c r="F191" s="159"/>
      <c r="G191" s="157"/>
      <c r="H191" s="40">
        <f t="shared" si="25"/>
        <v>10756.200000000003</v>
      </c>
    </row>
    <row r="192" spans="1:8" ht="56.1" customHeight="1">
      <c r="A192" s="34" t="s">
        <v>115</v>
      </c>
      <c r="B192" s="33" t="s">
        <v>114</v>
      </c>
      <c r="C192" s="29">
        <f>6603*1.04*1.05</f>
        <v>7210.4760000000006</v>
      </c>
      <c r="D192" s="158">
        <f>132*1.04*1.05</f>
        <v>144.14400000000001</v>
      </c>
      <c r="E192" s="159"/>
      <c r="F192" s="159"/>
      <c r="G192" s="157"/>
      <c r="H192" s="40">
        <f t="shared" si="25"/>
        <v>7066.3320000000003</v>
      </c>
    </row>
    <row r="193" spans="1:8" ht="25.5" customHeight="1">
      <c r="A193" s="55"/>
      <c r="B193" s="63" t="s">
        <v>51</v>
      </c>
      <c r="C193" s="41">
        <f>SUM(C188:C192)</f>
        <v>42518.112000000008</v>
      </c>
      <c r="D193" s="72">
        <f t="shared" ref="D193:H193" si="26">SUM(D188:D192)</f>
        <v>1502.5920000000001</v>
      </c>
      <c r="E193" s="41">
        <f t="shared" si="26"/>
        <v>90</v>
      </c>
      <c r="F193" s="41">
        <f t="shared" si="26"/>
        <v>0</v>
      </c>
      <c r="G193" s="73">
        <f t="shared" si="26"/>
        <v>0</v>
      </c>
      <c r="H193" s="41">
        <f t="shared" si="26"/>
        <v>41105.520000000011</v>
      </c>
    </row>
    <row r="194" spans="1:8" ht="15" customHeight="1">
      <c r="A194" s="12"/>
      <c r="B194" s="12" t="s">
        <v>116</v>
      </c>
      <c r="C194" s="12"/>
      <c r="D194" s="8"/>
      <c r="E194" s="12"/>
      <c r="F194" s="12"/>
      <c r="G194" s="173"/>
      <c r="H194" s="12"/>
    </row>
    <row r="195" spans="1:8" ht="24.75" customHeight="1">
      <c r="A195" s="50" t="s">
        <v>3</v>
      </c>
      <c r="B195" s="50" t="s">
        <v>4</v>
      </c>
      <c r="C195" s="50" t="s">
        <v>5</v>
      </c>
      <c r="D195" s="9" t="s">
        <v>6</v>
      </c>
      <c r="E195" s="50" t="s">
        <v>7</v>
      </c>
      <c r="F195" s="75" t="s">
        <v>8</v>
      </c>
      <c r="G195" s="28" t="str">
        <f>G187</f>
        <v>COMPENSACIONES</v>
      </c>
      <c r="H195" s="50" t="s">
        <v>10</v>
      </c>
    </row>
    <row r="196" spans="1:8" ht="63.95" customHeight="1">
      <c r="A196" s="45" t="s">
        <v>117</v>
      </c>
      <c r="B196" s="57" t="s">
        <v>118</v>
      </c>
      <c r="C196" s="46">
        <f>8000*1.05*1.05</f>
        <v>8820</v>
      </c>
      <c r="D196" s="77">
        <f>367*1.05*1.05</f>
        <v>404.61750000000006</v>
      </c>
      <c r="E196" s="174"/>
      <c r="F196" s="174"/>
      <c r="G196" s="175"/>
      <c r="H196" s="53">
        <f t="shared" ref="H196:H205" si="27">C196-D196+E196+F196+G196</f>
        <v>8415.3824999999997</v>
      </c>
    </row>
    <row r="197" spans="1:8" ht="75.95" customHeight="1">
      <c r="A197" s="160" t="s">
        <v>119</v>
      </c>
      <c r="B197" s="161" t="s">
        <v>120</v>
      </c>
      <c r="C197" s="29">
        <f>6019*1.05*1.05</f>
        <v>6635.9475000000002</v>
      </c>
      <c r="D197" s="31">
        <f>183*1.05*1.05</f>
        <v>201.75750000000002</v>
      </c>
      <c r="E197" s="40"/>
      <c r="F197" s="40"/>
      <c r="G197" s="157"/>
      <c r="H197" s="176">
        <f t="shared" si="27"/>
        <v>6434.1900000000005</v>
      </c>
    </row>
    <row r="198" spans="1:8" ht="60" customHeight="1">
      <c r="A198" s="34" t="s">
        <v>121</v>
      </c>
      <c r="B198" s="161" t="s">
        <v>122</v>
      </c>
      <c r="C198" s="29">
        <f>7215*1.05*1.05</f>
        <v>7954.5375000000004</v>
      </c>
      <c r="D198" s="31">
        <f>231*1.05</f>
        <v>242.55</v>
      </c>
      <c r="E198" s="40"/>
      <c r="F198" s="40"/>
      <c r="G198" s="157"/>
      <c r="H198" s="176">
        <f t="shared" si="27"/>
        <v>7711.9875000000002</v>
      </c>
    </row>
    <row r="199" spans="1:8" ht="59.1" customHeight="1">
      <c r="A199" s="34" t="s">
        <v>123</v>
      </c>
      <c r="B199" s="161" t="s">
        <v>122</v>
      </c>
      <c r="C199" s="29">
        <f>6432*1.05*1.05</f>
        <v>7091.2800000000007</v>
      </c>
      <c r="D199" s="31">
        <f>183*1.05*1.05</f>
        <v>201.75750000000002</v>
      </c>
      <c r="E199" s="40"/>
      <c r="F199" s="40"/>
      <c r="G199" s="157"/>
      <c r="H199" s="176">
        <f t="shared" si="27"/>
        <v>6889.5225000000009</v>
      </c>
    </row>
    <row r="200" spans="1:8" ht="47.25" customHeight="1">
      <c r="A200" s="34" t="s">
        <v>124</v>
      </c>
      <c r="B200" s="161" t="s">
        <v>122</v>
      </c>
      <c r="C200" s="29">
        <f>5677*1.05*1.05</f>
        <v>6258.8925000000008</v>
      </c>
      <c r="D200" s="31">
        <f>157*1.05*1.05</f>
        <v>173.0925</v>
      </c>
      <c r="E200" s="40"/>
      <c r="F200" s="40"/>
      <c r="G200" s="157"/>
      <c r="H200" s="176">
        <f t="shared" si="27"/>
        <v>6085.8000000000011</v>
      </c>
    </row>
    <row r="201" spans="1:8" ht="47.25" customHeight="1">
      <c r="A201" s="34" t="s">
        <v>125</v>
      </c>
      <c r="B201" s="161" t="s">
        <v>122</v>
      </c>
      <c r="C201" s="29">
        <f>5677*1.05*1.05</f>
        <v>6258.8925000000008</v>
      </c>
      <c r="D201" s="31">
        <f>157*1.05*1.05</f>
        <v>173.0925</v>
      </c>
      <c r="E201" s="40"/>
      <c r="F201" s="40"/>
      <c r="G201" s="157"/>
      <c r="H201" s="176">
        <f t="shared" si="27"/>
        <v>6085.8000000000011</v>
      </c>
    </row>
    <row r="202" spans="1:8" ht="44.25" customHeight="1">
      <c r="A202" s="34" t="s">
        <v>126</v>
      </c>
      <c r="B202" s="161" t="s">
        <v>127</v>
      </c>
      <c r="C202" s="29">
        <f>5145*1.05*1.05</f>
        <v>5672.3625000000002</v>
      </c>
      <c r="D202" s="31">
        <f>157*1.05*1.05</f>
        <v>173.0925</v>
      </c>
      <c r="E202" s="40"/>
      <c r="F202" s="40"/>
      <c r="G202" s="157"/>
      <c r="H202" s="176">
        <f t="shared" si="27"/>
        <v>5499.27</v>
      </c>
    </row>
    <row r="203" spans="1:8" ht="44.25" customHeight="1">
      <c r="A203" s="34" t="s">
        <v>128</v>
      </c>
      <c r="B203" s="161" t="s">
        <v>122</v>
      </c>
      <c r="C203" s="29">
        <f>5145*1.05*1.05</f>
        <v>5672.3625000000002</v>
      </c>
      <c r="D203" s="31">
        <f>157*1.05*1.05</f>
        <v>173.0925</v>
      </c>
      <c r="E203" s="40"/>
      <c r="F203" s="40"/>
      <c r="G203" s="157"/>
      <c r="H203" s="176">
        <f t="shared" si="27"/>
        <v>5499.27</v>
      </c>
    </row>
    <row r="204" spans="1:8" ht="44.25" customHeight="1">
      <c r="A204" s="34" t="s">
        <v>129</v>
      </c>
      <c r="B204" s="161" t="s">
        <v>122</v>
      </c>
      <c r="C204" s="29">
        <f>5050*1.05*1.05</f>
        <v>5567.625</v>
      </c>
      <c r="D204" s="31">
        <f>140*1.05*1.05</f>
        <v>154.35</v>
      </c>
      <c r="E204" s="40"/>
      <c r="F204" s="40"/>
      <c r="G204" s="157"/>
      <c r="H204" s="176">
        <f t="shared" si="27"/>
        <v>5413.2749999999996</v>
      </c>
    </row>
    <row r="205" spans="1:8" ht="51" customHeight="1">
      <c r="A205" s="32" t="s">
        <v>130</v>
      </c>
      <c r="B205" s="17" t="s">
        <v>131</v>
      </c>
      <c r="C205" s="29">
        <f>5545*1.05*1.05</f>
        <v>6113.3625000000002</v>
      </c>
      <c r="D205" s="31">
        <f>103.95*1.05</f>
        <v>109.14750000000001</v>
      </c>
      <c r="E205" s="40"/>
      <c r="F205" s="40">
        <v>126</v>
      </c>
      <c r="G205" s="157"/>
      <c r="H205" s="176">
        <f t="shared" si="27"/>
        <v>6130.2150000000001</v>
      </c>
    </row>
    <row r="206" spans="1:8" ht="29.25" customHeight="1">
      <c r="A206" s="55"/>
      <c r="B206" s="63" t="s">
        <v>51</v>
      </c>
      <c r="C206" s="162">
        <f t="shared" ref="C206:H206" si="28">SUM(C196:C205)</f>
        <v>66045.262500000012</v>
      </c>
      <c r="D206" s="177">
        <f t="shared" si="28"/>
        <v>2006.55</v>
      </c>
      <c r="E206" s="162">
        <f t="shared" si="28"/>
        <v>0</v>
      </c>
      <c r="F206" s="162">
        <f t="shared" si="28"/>
        <v>126</v>
      </c>
      <c r="G206" s="178">
        <f t="shared" si="28"/>
        <v>0</v>
      </c>
      <c r="H206" s="162">
        <f t="shared" si="28"/>
        <v>64164.712500000023</v>
      </c>
    </row>
    <row r="207" spans="1:8" ht="25.5" customHeight="1">
      <c r="A207" s="163"/>
      <c r="B207" s="20" t="s">
        <v>23</v>
      </c>
      <c r="C207" s="137">
        <f t="shared" ref="C207:H207" si="29">SUM(C193+C206)</f>
        <v>108563.37450000002</v>
      </c>
      <c r="D207" s="148">
        <f t="shared" si="29"/>
        <v>3509.1419999999998</v>
      </c>
      <c r="E207" s="137">
        <f t="shared" si="29"/>
        <v>90</v>
      </c>
      <c r="F207" s="137">
        <f t="shared" si="29"/>
        <v>126</v>
      </c>
      <c r="G207" s="149">
        <f t="shared" si="29"/>
        <v>0</v>
      </c>
      <c r="H207" s="137">
        <f t="shared" si="29"/>
        <v>105270.23250000004</v>
      </c>
    </row>
    <row r="208" spans="1:8" ht="15" customHeight="1">
      <c r="A208" s="283"/>
      <c r="B208" s="283"/>
      <c r="C208" s="283"/>
      <c r="D208" s="283"/>
      <c r="E208" s="283"/>
      <c r="F208" s="283"/>
      <c r="G208" s="284"/>
      <c r="H208" s="283"/>
    </row>
    <row r="209" spans="1:8" ht="15" customHeight="1">
      <c r="A209" s="283"/>
      <c r="B209" s="283"/>
      <c r="C209" s="283"/>
      <c r="D209" s="283"/>
      <c r="E209" s="283"/>
      <c r="F209" s="283"/>
      <c r="G209" s="284"/>
      <c r="H209" s="283"/>
    </row>
    <row r="210" spans="1:8" ht="15" customHeight="1">
      <c r="A210" s="285"/>
      <c r="B210" s="285"/>
      <c r="C210" s="285"/>
      <c r="D210" s="285"/>
      <c r="E210" s="285"/>
      <c r="F210" s="285"/>
      <c r="G210" s="286"/>
      <c r="H210" s="285"/>
    </row>
    <row r="211" spans="1:8" ht="15" customHeight="1">
      <c r="A211" s="276"/>
      <c r="B211" s="276"/>
      <c r="C211" s="276"/>
      <c r="D211" s="277"/>
      <c r="E211" s="276"/>
      <c r="F211" s="276"/>
      <c r="G211" s="278"/>
      <c r="H211" s="276"/>
    </row>
    <row r="212" spans="1:8" ht="24.75" customHeight="1">
      <c r="A212" s="50" t="s">
        <v>3</v>
      </c>
      <c r="B212" s="50" t="s">
        <v>4</v>
      </c>
      <c r="C212" s="50" t="s">
        <v>5</v>
      </c>
      <c r="D212" s="9" t="s">
        <v>6</v>
      </c>
      <c r="E212" s="50" t="s">
        <v>7</v>
      </c>
      <c r="F212" s="75" t="s">
        <v>8</v>
      </c>
      <c r="G212" s="28" t="str">
        <f>G195</f>
        <v>COMPENSACIONES</v>
      </c>
      <c r="H212" s="50" t="s">
        <v>10</v>
      </c>
    </row>
    <row r="213" spans="1:8" ht="40.5" customHeight="1">
      <c r="A213" s="45" t="s">
        <v>132</v>
      </c>
      <c r="B213" s="44" t="s">
        <v>66</v>
      </c>
      <c r="C213" s="46">
        <f>10038*1.04*1.05</f>
        <v>10961.496000000001</v>
      </c>
      <c r="D213" s="77">
        <f>441*1.04*1.05</f>
        <v>481.57200000000006</v>
      </c>
      <c r="E213" s="46"/>
      <c r="F213" s="46"/>
      <c r="G213" s="78"/>
      <c r="H213" s="46">
        <f>C213-D213+E213+G213</f>
        <v>10479.924000000001</v>
      </c>
    </row>
    <row r="214" spans="1:8" ht="48.95" customHeight="1">
      <c r="A214" s="32" t="s">
        <v>133</v>
      </c>
      <c r="B214" s="16" t="s">
        <v>134</v>
      </c>
      <c r="C214" s="113">
        <f>3800*1.05</f>
        <v>3990</v>
      </c>
      <c r="D214" s="127"/>
      <c r="E214" s="47"/>
      <c r="F214" s="47"/>
      <c r="G214" s="81"/>
      <c r="H214" s="47">
        <f>C214+G214</f>
        <v>3990</v>
      </c>
    </row>
    <row r="215" spans="1:8" ht="25.5" customHeight="1">
      <c r="A215" s="48"/>
      <c r="B215" s="20" t="s">
        <v>23</v>
      </c>
      <c r="C215" s="49">
        <f t="shared" ref="C215:H215" si="30">SUM(C213:C214)</f>
        <v>14951.496000000001</v>
      </c>
      <c r="D215" s="82">
        <f t="shared" si="30"/>
        <v>481.57200000000006</v>
      </c>
      <c r="E215" s="49">
        <f t="shared" si="30"/>
        <v>0</v>
      </c>
      <c r="F215" s="49">
        <f t="shared" si="30"/>
        <v>0</v>
      </c>
      <c r="G215" s="83">
        <f t="shared" si="30"/>
        <v>0</v>
      </c>
      <c r="H215" s="49">
        <f t="shared" si="30"/>
        <v>14469.924000000001</v>
      </c>
    </row>
    <row r="216" spans="1:8" ht="15" customHeight="1">
      <c r="A216" s="59"/>
      <c r="B216" s="59"/>
      <c r="C216" s="59"/>
      <c r="D216" s="89"/>
      <c r="E216" s="59"/>
      <c r="F216" s="59"/>
      <c r="G216" s="179"/>
      <c r="H216" s="59"/>
    </row>
    <row r="217" spans="1:8" ht="15" customHeight="1">
      <c r="A217" s="59"/>
      <c r="B217" s="59" t="str">
        <f>A2</f>
        <v>ADMINISTRACIÓN 2021-2024</v>
      </c>
      <c r="C217" s="59"/>
      <c r="D217" s="89"/>
      <c r="E217" s="59"/>
      <c r="F217" s="59"/>
      <c r="G217" s="179"/>
      <c r="H217" s="59"/>
    </row>
    <row r="218" spans="1:8" ht="15" customHeight="1">
      <c r="A218" s="59"/>
      <c r="B218" s="59" t="str">
        <f>A3</f>
        <v>Nómina que corresponde a la 1ra.   (PRIMER     ) quincena del mes de JUNIO de 2023.</v>
      </c>
      <c r="C218" s="59"/>
      <c r="D218" s="89"/>
      <c r="E218" s="59"/>
      <c r="F218" s="59"/>
      <c r="G218" s="179"/>
      <c r="H218" s="59"/>
    </row>
    <row r="219" spans="1:8" ht="15" customHeight="1">
      <c r="A219" s="50"/>
      <c r="B219" s="50" t="s">
        <v>135</v>
      </c>
      <c r="C219" s="50"/>
      <c r="D219" s="9"/>
      <c r="E219" s="50"/>
      <c r="F219" s="50"/>
      <c r="G219" s="180"/>
      <c r="H219" s="50"/>
    </row>
    <row r="220" spans="1:8" ht="24" customHeight="1">
      <c r="A220" s="50" t="s">
        <v>3</v>
      </c>
      <c r="B220" s="50" t="s">
        <v>4</v>
      </c>
      <c r="C220" s="50" t="s">
        <v>5</v>
      </c>
      <c r="D220" s="9" t="s">
        <v>6</v>
      </c>
      <c r="E220" s="50" t="s">
        <v>7</v>
      </c>
      <c r="F220" s="75" t="s">
        <v>8</v>
      </c>
      <c r="G220" s="28" t="str">
        <f>G212</f>
        <v>COMPENSACIONES</v>
      </c>
      <c r="H220" s="50" t="s">
        <v>10</v>
      </c>
    </row>
    <row r="221" spans="1:8" ht="45" customHeight="1">
      <c r="A221" s="45" t="s">
        <v>136</v>
      </c>
      <c r="B221" s="44" t="s">
        <v>68</v>
      </c>
      <c r="C221" s="46">
        <f>10038*1.04*1.05</f>
        <v>10961.496000000001</v>
      </c>
      <c r="D221" s="77">
        <f>441*1.04*1.05</f>
        <v>481.57200000000006</v>
      </c>
      <c r="E221" s="46"/>
      <c r="F221" s="181"/>
      <c r="G221" s="182"/>
      <c r="H221" s="46">
        <f t="shared" ref="H221:H227" si="31">C221-D221+E221+F221+G221</f>
        <v>10479.924000000001</v>
      </c>
    </row>
    <row r="222" spans="1:8" ht="39.950000000000003" customHeight="1">
      <c r="A222" s="32" t="s">
        <v>137</v>
      </c>
      <c r="B222" s="164" t="s">
        <v>138</v>
      </c>
      <c r="C222" s="165">
        <f>4668*1.05*1.05</f>
        <v>5146.4700000000012</v>
      </c>
      <c r="D222" s="183"/>
      <c r="E222" s="40">
        <v>90</v>
      </c>
      <c r="F222" s="40"/>
      <c r="G222" s="79"/>
      <c r="H222" s="64">
        <f t="shared" si="31"/>
        <v>5236.4700000000012</v>
      </c>
    </row>
    <row r="223" spans="1:8" ht="39.950000000000003" customHeight="1">
      <c r="A223" s="32" t="s">
        <v>139</v>
      </c>
      <c r="B223" s="164" t="s">
        <v>140</v>
      </c>
      <c r="C223" s="166">
        <f>5429*1.05*1.05</f>
        <v>5985.4724999999999</v>
      </c>
      <c r="D223" s="184"/>
      <c r="E223" s="40">
        <v>90</v>
      </c>
      <c r="F223" s="40"/>
      <c r="G223" s="79"/>
      <c r="H223" s="64">
        <f t="shared" si="31"/>
        <v>6075.4724999999999</v>
      </c>
    </row>
    <row r="224" spans="1:8" ht="60" customHeight="1">
      <c r="A224" s="32" t="s">
        <v>141</v>
      </c>
      <c r="B224" s="16" t="s">
        <v>142</v>
      </c>
      <c r="C224" s="165">
        <f t="shared" ref="C224:C228" si="32">4075*1.05*1.05</f>
        <v>4492.6875</v>
      </c>
      <c r="D224" s="184"/>
      <c r="E224" s="40">
        <v>150</v>
      </c>
      <c r="F224" s="40"/>
      <c r="G224" s="79"/>
      <c r="H224" s="64">
        <f t="shared" si="31"/>
        <v>4642.6875</v>
      </c>
    </row>
    <row r="225" spans="1:8" ht="39.950000000000003" customHeight="1">
      <c r="A225" s="32" t="s">
        <v>143</v>
      </c>
      <c r="B225" s="164" t="s">
        <v>144</v>
      </c>
      <c r="C225" s="165">
        <f t="shared" si="32"/>
        <v>4492.6875</v>
      </c>
      <c r="D225" s="185"/>
      <c r="E225" s="40">
        <v>150</v>
      </c>
      <c r="F225" s="40"/>
      <c r="G225" s="79"/>
      <c r="H225" s="64">
        <f t="shared" si="31"/>
        <v>4642.6875</v>
      </c>
    </row>
    <row r="226" spans="1:8" ht="65.099999999999994" customHeight="1">
      <c r="A226" s="167" t="s">
        <v>145</v>
      </c>
      <c r="B226" s="16" t="s">
        <v>146</v>
      </c>
      <c r="C226" s="165">
        <v>0</v>
      </c>
      <c r="D226" s="184"/>
      <c r="E226" s="40">
        <v>0</v>
      </c>
      <c r="F226" s="40"/>
      <c r="G226" s="79"/>
      <c r="H226" s="64">
        <f t="shared" si="31"/>
        <v>0</v>
      </c>
    </row>
    <row r="227" spans="1:8" ht="39.950000000000003" customHeight="1">
      <c r="A227" s="32" t="s">
        <v>147</v>
      </c>
      <c r="B227" s="16" t="s">
        <v>148</v>
      </c>
      <c r="C227" s="165">
        <f t="shared" si="32"/>
        <v>4492.6875</v>
      </c>
      <c r="D227" s="186"/>
      <c r="E227" s="187">
        <v>142</v>
      </c>
      <c r="F227" s="40"/>
      <c r="G227" s="79"/>
      <c r="H227" s="64">
        <f t="shared" si="31"/>
        <v>4634.6875</v>
      </c>
    </row>
    <row r="228" spans="1:8" ht="39.950000000000003" customHeight="1">
      <c r="A228" s="167" t="s">
        <v>149</v>
      </c>
      <c r="B228" s="16" t="s">
        <v>148</v>
      </c>
      <c r="C228" s="165">
        <f t="shared" si="32"/>
        <v>4492.6875</v>
      </c>
      <c r="D228" s="30"/>
      <c r="E228" s="64">
        <v>142</v>
      </c>
      <c r="F228" s="64"/>
      <c r="G228" s="79"/>
      <c r="H228" s="29">
        <f>C228-D228+E228+G228</f>
        <v>4634.6875</v>
      </c>
    </row>
    <row r="229" spans="1:8" ht="39.950000000000003" customHeight="1">
      <c r="A229" s="168" t="s">
        <v>150</v>
      </c>
      <c r="B229" s="16" t="s">
        <v>148</v>
      </c>
      <c r="C229" s="165">
        <f>'[6]MADRE BANCO'!$G$165</f>
        <v>4492.6875</v>
      </c>
      <c r="D229" s="30"/>
      <c r="E229" s="64">
        <v>142</v>
      </c>
      <c r="F229" s="64"/>
      <c r="G229" s="79"/>
      <c r="H229" s="29">
        <f>C229-D229+E229+G229</f>
        <v>4634.6875</v>
      </c>
    </row>
    <row r="230" spans="1:8" ht="46.5" customHeight="1">
      <c r="A230" s="32" t="s">
        <v>151</v>
      </c>
      <c r="B230" s="16" t="s">
        <v>148</v>
      </c>
      <c r="C230" s="64">
        <f>3885*1.05*1.05</f>
        <v>4283.2125000000005</v>
      </c>
      <c r="D230" s="30"/>
      <c r="E230" s="40">
        <v>142</v>
      </c>
      <c r="F230" s="40"/>
      <c r="G230" s="79"/>
      <c r="H230" s="64">
        <f>C230-D230+E230+F230+G230</f>
        <v>4425.2125000000005</v>
      </c>
    </row>
    <row r="231" spans="1:8" ht="48.75" customHeight="1">
      <c r="A231" s="32" t="s">
        <v>152</v>
      </c>
      <c r="B231" s="16" t="s">
        <v>148</v>
      </c>
      <c r="C231" s="64">
        <f>3885*1.05*1.05</f>
        <v>4283.2125000000005</v>
      </c>
      <c r="D231" s="30"/>
      <c r="E231" s="40">
        <v>142</v>
      </c>
      <c r="F231" s="40"/>
      <c r="G231" s="79"/>
      <c r="H231" s="64">
        <f>C231-D231+E231+F231+G231</f>
        <v>4425.2125000000005</v>
      </c>
    </row>
    <row r="232" spans="1:8" ht="48.75" customHeight="1">
      <c r="A232" s="32" t="s">
        <v>153</v>
      </c>
      <c r="B232" s="16" t="s">
        <v>148</v>
      </c>
      <c r="C232" s="64">
        <f>3885*1.05*1.05</f>
        <v>4283.2125000000005</v>
      </c>
      <c r="D232" s="30"/>
      <c r="E232" s="40">
        <v>142</v>
      </c>
      <c r="F232" s="40"/>
      <c r="G232" s="79"/>
      <c r="H232" s="64">
        <f>C232-D232+E232+F232+G232</f>
        <v>4425.2125000000005</v>
      </c>
    </row>
    <row r="233" spans="1:8" ht="51" customHeight="1">
      <c r="A233" s="32" t="s">
        <v>154</v>
      </c>
      <c r="B233" s="16" t="s">
        <v>148</v>
      </c>
      <c r="C233" s="64">
        <f>3885*1.05*1.05</f>
        <v>4283.2125000000005</v>
      </c>
      <c r="D233" s="30"/>
      <c r="E233" s="40">
        <v>142</v>
      </c>
      <c r="F233" s="40"/>
      <c r="G233" s="79"/>
      <c r="H233" s="64">
        <f>C233-D233+E233+F233+G233</f>
        <v>4425.2125000000005</v>
      </c>
    </row>
    <row r="234" spans="1:8" ht="51" customHeight="1">
      <c r="A234" s="15" t="s">
        <v>155</v>
      </c>
      <c r="B234" s="16" t="s">
        <v>148</v>
      </c>
      <c r="C234" s="64">
        <f>3885*1.05*1.05</f>
        <v>4283.2125000000005</v>
      </c>
      <c r="D234" s="30"/>
      <c r="E234" s="40">
        <v>142</v>
      </c>
      <c r="F234" s="40"/>
      <c r="G234" s="79"/>
      <c r="H234" s="64">
        <f>C234-D234+E234+F234+G234</f>
        <v>4425.2125000000005</v>
      </c>
    </row>
    <row r="235" spans="1:8" ht="51" customHeight="1">
      <c r="A235" s="15" t="s">
        <v>156</v>
      </c>
      <c r="B235" s="33" t="s">
        <v>157</v>
      </c>
      <c r="C235" s="64">
        <f>5822.25*1.05</f>
        <v>6113.3625000000002</v>
      </c>
      <c r="D235" s="30">
        <f>103.95*1.05</f>
        <v>109.14750000000001</v>
      </c>
      <c r="E235" s="64"/>
      <c r="F235" s="64">
        <v>126</v>
      </c>
      <c r="G235" s="79"/>
      <c r="H235" s="29">
        <f>C235-D235+F235+G235</f>
        <v>6130.2150000000001</v>
      </c>
    </row>
    <row r="236" spans="1:8" ht="51" customHeight="1">
      <c r="A236" s="15" t="s">
        <v>158</v>
      </c>
      <c r="B236" s="16" t="s">
        <v>148</v>
      </c>
      <c r="C236" s="29">
        <f>3885*1.05*1.05</f>
        <v>4283.2125000000005</v>
      </c>
      <c r="D236" s="30"/>
      <c r="E236" s="40">
        <v>142</v>
      </c>
      <c r="F236" s="40"/>
      <c r="G236" s="79"/>
      <c r="H236" s="64">
        <f>C236-D236+E236+F236+G236</f>
        <v>4425.2125000000005</v>
      </c>
    </row>
    <row r="237" spans="1:8" ht="25.5" customHeight="1">
      <c r="A237" s="169"/>
      <c r="B237" s="170" t="s">
        <v>23</v>
      </c>
      <c r="C237" s="171">
        <f>SUM(C221:C236)</f>
        <v>76369.513500000001</v>
      </c>
      <c r="D237" s="188">
        <f t="shared" ref="D237:H237" si="33">SUM(D221:D236)</f>
        <v>590.71950000000004</v>
      </c>
      <c r="E237" s="171">
        <f t="shared" si="33"/>
        <v>1758</v>
      </c>
      <c r="F237" s="171">
        <f t="shared" si="33"/>
        <v>126</v>
      </c>
      <c r="G237" s="189">
        <f t="shared" si="33"/>
        <v>0</v>
      </c>
      <c r="H237" s="171">
        <f t="shared" si="33"/>
        <v>77662.793999999994</v>
      </c>
    </row>
    <row r="238" spans="1:8" ht="15" customHeight="1">
      <c r="A238" s="283"/>
      <c r="B238" s="283"/>
      <c r="C238" s="283"/>
      <c r="D238" s="283"/>
      <c r="E238" s="283"/>
      <c r="F238" s="283"/>
      <c r="G238" s="284"/>
      <c r="H238" s="283"/>
    </row>
    <row r="239" spans="1:8" ht="15" customHeight="1">
      <c r="A239" s="283"/>
      <c r="B239" s="283"/>
      <c r="C239" s="283"/>
      <c r="D239" s="283"/>
      <c r="E239" s="283"/>
      <c r="F239" s="283"/>
      <c r="G239" s="284"/>
      <c r="H239" s="283"/>
    </row>
    <row r="240" spans="1:8" ht="15" customHeight="1">
      <c r="A240" s="285"/>
      <c r="B240" s="285"/>
      <c r="C240" s="285"/>
      <c r="D240" s="285"/>
      <c r="E240" s="285"/>
      <c r="F240" s="285"/>
      <c r="G240" s="286"/>
      <c r="H240" s="285"/>
    </row>
    <row r="241" spans="1:8" ht="15" customHeight="1">
      <c r="A241" s="276"/>
      <c r="B241" s="276"/>
      <c r="C241" s="276"/>
      <c r="D241" s="277"/>
      <c r="E241" s="276"/>
      <c r="F241" s="276"/>
      <c r="G241" s="278"/>
      <c r="H241" s="276"/>
    </row>
    <row r="242" spans="1:8" ht="24.75" customHeight="1">
      <c r="A242" s="50" t="s">
        <v>3</v>
      </c>
      <c r="B242" s="50" t="s">
        <v>4</v>
      </c>
      <c r="C242" s="50" t="s">
        <v>5</v>
      </c>
      <c r="D242" s="9" t="s">
        <v>6</v>
      </c>
      <c r="E242" s="50" t="s">
        <v>7</v>
      </c>
      <c r="F242" s="75" t="s">
        <v>8</v>
      </c>
      <c r="G242" s="28" t="str">
        <f>G220</f>
        <v>COMPENSACIONES</v>
      </c>
      <c r="H242" s="50" t="s">
        <v>10</v>
      </c>
    </row>
    <row r="243" spans="1:8" ht="51" customHeight="1">
      <c r="A243" s="45" t="s">
        <v>159</v>
      </c>
      <c r="B243" s="57" t="s">
        <v>59</v>
      </c>
      <c r="C243" s="46">
        <f>7020*1.04*1.05</f>
        <v>7665.84</v>
      </c>
      <c r="D243" s="77">
        <f>220*1.04*1.05</f>
        <v>240.24</v>
      </c>
      <c r="E243" s="46"/>
      <c r="F243" s="46"/>
      <c r="G243" s="78"/>
      <c r="H243" s="53">
        <f>C243-D243+E243+F243+G243</f>
        <v>7425.6</v>
      </c>
    </row>
    <row r="244" spans="1:8" ht="57.95" customHeight="1">
      <c r="A244" s="34" t="s">
        <v>160</v>
      </c>
      <c r="B244" s="33" t="s">
        <v>61</v>
      </c>
      <c r="C244" s="29">
        <f>4790*1.04*1.05</f>
        <v>5230.68</v>
      </c>
      <c r="D244" s="31"/>
      <c r="E244" s="40">
        <v>90</v>
      </c>
      <c r="F244" s="40"/>
      <c r="G244" s="79"/>
      <c r="H244" s="40">
        <f t="shared" ref="H244:H246" si="34">C244-D244+E244+G244</f>
        <v>5320.68</v>
      </c>
    </row>
    <row r="245" spans="1:8" ht="72.95" customHeight="1">
      <c r="A245" s="34" t="s">
        <v>161</v>
      </c>
      <c r="B245" s="33" t="s">
        <v>162</v>
      </c>
      <c r="C245" s="29">
        <f>6928*1.04*1.05</f>
        <v>7565.3760000000002</v>
      </c>
      <c r="D245" s="31">
        <f>220*1.04*1.05</f>
        <v>240.24</v>
      </c>
      <c r="E245" s="64"/>
      <c r="F245" s="64"/>
      <c r="G245" s="79"/>
      <c r="H245" s="40">
        <f t="shared" ref="H245" si="35">C245-D245+E245+G245</f>
        <v>7325.1360000000004</v>
      </c>
    </row>
    <row r="246" spans="1:8" ht="71.099999999999994" customHeight="1">
      <c r="A246" s="34" t="s">
        <v>163</v>
      </c>
      <c r="B246" s="14" t="s">
        <v>83</v>
      </c>
      <c r="C246" s="29">
        <f>3185*1.05*1.05</f>
        <v>3511.4625000000001</v>
      </c>
      <c r="D246" s="31"/>
      <c r="E246" s="40">
        <v>142</v>
      </c>
      <c r="F246" s="40"/>
      <c r="G246" s="79"/>
      <c r="H246" s="40">
        <f t="shared" si="34"/>
        <v>3653.4625000000001</v>
      </c>
    </row>
    <row r="247" spans="1:8" ht="25.5" customHeight="1">
      <c r="A247" s="172"/>
      <c r="B247" s="20" t="s">
        <v>23</v>
      </c>
      <c r="C247" s="41">
        <f t="shared" ref="C247:H247" si="36">SUM(C243:C246)</f>
        <v>23973.358500000002</v>
      </c>
      <c r="D247" s="72">
        <f t="shared" si="36"/>
        <v>480.48</v>
      </c>
      <c r="E247" s="41">
        <f t="shared" si="36"/>
        <v>232</v>
      </c>
      <c r="F247" s="41">
        <f t="shared" si="36"/>
        <v>0</v>
      </c>
      <c r="G247" s="73">
        <f t="shared" si="36"/>
        <v>0</v>
      </c>
      <c r="H247" s="41">
        <f t="shared" si="36"/>
        <v>23724.878500000003</v>
      </c>
    </row>
    <row r="248" spans="1:8" ht="15" customHeight="1">
      <c r="A248" s="283"/>
      <c r="B248" s="283"/>
      <c r="C248" s="283"/>
      <c r="D248" s="283"/>
      <c r="E248" s="283"/>
      <c r="F248" s="283"/>
      <c r="G248" s="284"/>
      <c r="H248" s="283"/>
    </row>
    <row r="249" spans="1:8" ht="15" customHeight="1">
      <c r="A249" s="283"/>
      <c r="B249" s="283"/>
      <c r="C249" s="283"/>
      <c r="D249" s="283"/>
      <c r="E249" s="283"/>
      <c r="F249" s="283"/>
      <c r="G249" s="284"/>
      <c r="H249" s="283"/>
    </row>
    <row r="250" spans="1:8" ht="15" customHeight="1">
      <c r="A250" s="285"/>
      <c r="B250" s="285"/>
      <c r="C250" s="285"/>
      <c r="D250" s="285"/>
      <c r="E250" s="285"/>
      <c r="F250" s="285"/>
      <c r="G250" s="286"/>
      <c r="H250" s="285"/>
    </row>
    <row r="251" spans="1:8" ht="15" customHeight="1">
      <c r="A251" s="276"/>
      <c r="B251" s="276"/>
      <c r="C251" s="276"/>
      <c r="D251" s="277"/>
      <c r="E251" s="276"/>
      <c r="F251" s="276"/>
      <c r="G251" s="278"/>
      <c r="H251" s="276"/>
    </row>
    <row r="252" spans="1:8" ht="24.75" customHeight="1">
      <c r="A252" s="50" t="s">
        <v>3</v>
      </c>
      <c r="B252" s="50" t="s">
        <v>4</v>
      </c>
      <c r="C252" s="50" t="s">
        <v>5</v>
      </c>
      <c r="D252" s="9" t="s">
        <v>6</v>
      </c>
      <c r="E252" s="50" t="s">
        <v>7</v>
      </c>
      <c r="F252" s="75" t="s">
        <v>8</v>
      </c>
      <c r="G252" s="28" t="str">
        <f>G242</f>
        <v>COMPENSACIONES</v>
      </c>
      <c r="H252" s="50" t="s">
        <v>10</v>
      </c>
    </row>
    <row r="253" spans="1:8" ht="51" customHeight="1">
      <c r="A253" s="61" t="s">
        <v>164</v>
      </c>
      <c r="B253" s="144" t="s">
        <v>165</v>
      </c>
      <c r="C253" s="46">
        <f>10038*1.04*1.05</f>
        <v>10961.496000000001</v>
      </c>
      <c r="D253" s="77">
        <f>441*1.04*1.05</f>
        <v>481.57200000000006</v>
      </c>
      <c r="E253" s="53"/>
      <c r="F253" s="53"/>
      <c r="G253" s="85"/>
      <c r="H253" s="53">
        <f>C253-D253+E253+G253</f>
        <v>10479.924000000001</v>
      </c>
    </row>
    <row r="254" spans="1:8" ht="54.95" customHeight="1">
      <c r="A254" s="32" t="s">
        <v>166</v>
      </c>
      <c r="B254" s="16" t="s">
        <v>167</v>
      </c>
      <c r="C254" s="29">
        <f>3100*1.04*1.05</f>
        <v>3385.2000000000003</v>
      </c>
      <c r="D254" s="31"/>
      <c r="E254" s="40">
        <v>90</v>
      </c>
      <c r="F254" s="40"/>
      <c r="G254" s="79"/>
      <c r="H254" s="40">
        <f t="shared" ref="H254:H255" si="37">C254-D254+E254+G254</f>
        <v>3475.2000000000003</v>
      </c>
    </row>
    <row r="255" spans="1:8" ht="63.95" customHeight="1">
      <c r="A255" s="34" t="s">
        <v>168</v>
      </c>
      <c r="B255" s="14" t="s">
        <v>33</v>
      </c>
      <c r="C255" s="113">
        <f>5247*1.04*1.05</f>
        <v>5729.7240000000002</v>
      </c>
      <c r="D255" s="127"/>
      <c r="E255" s="47">
        <v>90</v>
      </c>
      <c r="F255" s="47"/>
      <c r="G255" s="81"/>
      <c r="H255" s="47">
        <f t="shared" si="37"/>
        <v>5819.7240000000002</v>
      </c>
    </row>
    <row r="256" spans="1:8" ht="25.5" customHeight="1">
      <c r="A256" s="48"/>
      <c r="B256" s="20" t="s">
        <v>23</v>
      </c>
      <c r="C256" s="49">
        <f>SUM(C253:C255)</f>
        <v>20076.420000000002</v>
      </c>
      <c r="D256" s="82">
        <f t="shared" ref="D256:H256" si="38">SUM(D253:D255)</f>
        <v>481.57200000000006</v>
      </c>
      <c r="E256" s="49">
        <f t="shared" si="38"/>
        <v>180</v>
      </c>
      <c r="F256" s="49">
        <f t="shared" si="38"/>
        <v>0</v>
      </c>
      <c r="G256" s="83">
        <f t="shared" si="38"/>
        <v>0</v>
      </c>
      <c r="H256" s="49">
        <f t="shared" si="38"/>
        <v>19774.848000000002</v>
      </c>
    </row>
    <row r="257" spans="1:8" ht="15" customHeight="1">
      <c r="A257" s="283"/>
      <c r="B257" s="283"/>
      <c r="C257" s="283"/>
      <c r="D257" s="283"/>
      <c r="E257" s="283"/>
      <c r="F257" s="283"/>
      <c r="G257" s="284"/>
      <c r="H257" s="283"/>
    </row>
    <row r="258" spans="1:8" ht="15" customHeight="1">
      <c r="A258" s="283"/>
      <c r="B258" s="283"/>
      <c r="C258" s="283"/>
      <c r="D258" s="283"/>
      <c r="E258" s="283"/>
      <c r="F258" s="283"/>
      <c r="G258" s="284"/>
      <c r="H258" s="283"/>
    </row>
    <row r="259" spans="1:8" ht="15" customHeight="1">
      <c r="A259" s="285"/>
      <c r="B259" s="285"/>
      <c r="C259" s="285"/>
      <c r="D259" s="285"/>
      <c r="E259" s="285"/>
      <c r="F259" s="285"/>
      <c r="G259" s="286"/>
      <c r="H259" s="285"/>
    </row>
    <row r="260" spans="1:8" ht="15" customHeight="1">
      <c r="A260" s="276"/>
      <c r="B260" s="276"/>
      <c r="C260" s="276"/>
      <c r="D260" s="277"/>
      <c r="E260" s="276"/>
      <c r="F260" s="276"/>
      <c r="G260" s="278"/>
      <c r="H260" s="276"/>
    </row>
    <row r="261" spans="1:8" ht="30.75" customHeight="1">
      <c r="A261" s="50" t="s">
        <v>3</v>
      </c>
      <c r="B261" s="50" t="s">
        <v>4</v>
      </c>
      <c r="C261" s="50" t="s">
        <v>5</v>
      </c>
      <c r="D261" s="9" t="s">
        <v>6</v>
      </c>
      <c r="E261" s="50" t="s">
        <v>7</v>
      </c>
      <c r="F261" s="75" t="s">
        <v>8</v>
      </c>
      <c r="G261" s="28" t="str">
        <f>G252</f>
        <v>COMPENSACIONES</v>
      </c>
      <c r="H261" s="50" t="s">
        <v>10</v>
      </c>
    </row>
    <row r="262" spans="1:8" ht="51" customHeight="1">
      <c r="A262" s="61" t="s">
        <v>169</v>
      </c>
      <c r="B262" s="44" t="s">
        <v>66</v>
      </c>
      <c r="C262" s="46">
        <f>10451*1.04*1.05</f>
        <v>11412.492000000002</v>
      </c>
      <c r="D262" s="77">
        <f>441*1.04*1.05</f>
        <v>481.57200000000006</v>
      </c>
      <c r="E262" s="53"/>
      <c r="F262" s="53"/>
      <c r="G262" s="85"/>
      <c r="H262" s="53">
        <f>C262-D262+E262+G262</f>
        <v>10930.920000000002</v>
      </c>
    </row>
    <row r="263" spans="1:8" ht="51" customHeight="1">
      <c r="A263" s="32" t="s">
        <v>170</v>
      </c>
      <c r="B263" s="16" t="s">
        <v>171</v>
      </c>
      <c r="C263" s="190">
        <f>7458*1.05*1.05</f>
        <v>8222.4450000000015</v>
      </c>
      <c r="D263" s="127">
        <f>367*1.05*1.05</f>
        <v>404.61750000000006</v>
      </c>
      <c r="E263" s="47"/>
      <c r="F263" s="47">
        <v>280</v>
      </c>
      <c r="G263" s="81"/>
      <c r="H263" s="47">
        <f>C263-D263+E263+G263+F263</f>
        <v>8097.8275000000012</v>
      </c>
    </row>
    <row r="264" spans="1:8" ht="25.5" customHeight="1">
      <c r="A264" s="191"/>
      <c r="B264" s="192" t="s">
        <v>51</v>
      </c>
      <c r="C264" s="137">
        <f t="shared" ref="C264:H264" si="39">SUM(C262:C263)</f>
        <v>19634.937000000005</v>
      </c>
      <c r="D264" s="148">
        <f t="shared" si="39"/>
        <v>886.18950000000018</v>
      </c>
      <c r="E264" s="137">
        <f t="shared" si="39"/>
        <v>0</v>
      </c>
      <c r="F264" s="137">
        <f t="shared" si="39"/>
        <v>280</v>
      </c>
      <c r="G264" s="149">
        <f t="shared" si="39"/>
        <v>0</v>
      </c>
      <c r="H264" s="137">
        <f t="shared" si="39"/>
        <v>19028.747500000005</v>
      </c>
    </row>
    <row r="265" spans="1:8" ht="15" customHeight="1">
      <c r="A265" s="276"/>
      <c r="B265" s="276"/>
      <c r="C265" s="276"/>
      <c r="D265" s="277"/>
      <c r="E265" s="276"/>
      <c r="F265" s="276"/>
      <c r="G265" s="278"/>
      <c r="H265" s="276"/>
    </row>
    <row r="266" spans="1:8" ht="24.75" customHeight="1">
      <c r="A266" s="50" t="s">
        <v>3</v>
      </c>
      <c r="B266" s="50" t="s">
        <v>4</v>
      </c>
      <c r="C266" s="50" t="s">
        <v>5</v>
      </c>
      <c r="D266" s="9" t="s">
        <v>6</v>
      </c>
      <c r="E266" s="50" t="s">
        <v>7</v>
      </c>
      <c r="F266" s="75" t="s">
        <v>8</v>
      </c>
      <c r="G266" s="28" t="str">
        <f>G261</f>
        <v>COMPENSACIONES</v>
      </c>
      <c r="H266" s="50" t="s">
        <v>10</v>
      </c>
    </row>
    <row r="267" spans="1:8" ht="51" customHeight="1">
      <c r="A267" s="32" t="s">
        <v>172</v>
      </c>
      <c r="B267" s="17" t="s">
        <v>173</v>
      </c>
      <c r="C267" s="29">
        <f>6498*1.05*1.05</f>
        <v>7164.045000000001</v>
      </c>
      <c r="D267" s="31">
        <f>220*1.05*1.05</f>
        <v>242.55</v>
      </c>
      <c r="E267" s="40"/>
      <c r="F267" s="40">
        <v>175</v>
      </c>
      <c r="G267" s="79"/>
      <c r="H267" s="40">
        <f>C267-D267+E267+F267+G267</f>
        <v>7096.4950000000008</v>
      </c>
    </row>
    <row r="268" spans="1:8" ht="51" customHeight="1">
      <c r="A268" s="34" t="s">
        <v>174</v>
      </c>
      <c r="B268" s="17" t="s">
        <v>173</v>
      </c>
      <c r="C268" s="29">
        <f>6498*1.05*1.05</f>
        <v>7164.045000000001</v>
      </c>
      <c r="D268" s="31">
        <f>220*1.05*1.05</f>
        <v>242.55</v>
      </c>
      <c r="E268" s="40"/>
      <c r="F268" s="40">
        <v>175</v>
      </c>
      <c r="G268" s="79"/>
      <c r="H268" s="40">
        <f>C268-D268+E268+F268+G268</f>
        <v>7096.4950000000008</v>
      </c>
    </row>
    <row r="269" spans="1:8" ht="51" customHeight="1">
      <c r="A269" s="32" t="s">
        <v>175</v>
      </c>
      <c r="B269" s="193" t="s">
        <v>173</v>
      </c>
      <c r="C269" s="113">
        <f>6498*1.05*1.05</f>
        <v>7164.045000000001</v>
      </c>
      <c r="D269" s="127">
        <f>220*1.05*1.05</f>
        <v>242.55</v>
      </c>
      <c r="E269" s="47"/>
      <c r="F269" s="47">
        <v>175</v>
      </c>
      <c r="G269" s="81"/>
      <c r="H269" s="47">
        <f>C269-D269+E269+F269+G269</f>
        <v>7096.4950000000008</v>
      </c>
    </row>
    <row r="270" spans="1:8" ht="25.5" customHeight="1">
      <c r="A270" s="191"/>
      <c r="B270" s="192" t="s">
        <v>176</v>
      </c>
      <c r="C270" s="137">
        <f t="shared" ref="C270:H270" si="40">SUM(C267:C269)</f>
        <v>21492.135000000002</v>
      </c>
      <c r="D270" s="148">
        <f t="shared" si="40"/>
        <v>727.65000000000009</v>
      </c>
      <c r="E270" s="137">
        <f t="shared" si="40"/>
        <v>0</v>
      </c>
      <c r="F270" s="137">
        <f t="shared" si="40"/>
        <v>525</v>
      </c>
      <c r="G270" s="197">
        <f t="shared" si="40"/>
        <v>0</v>
      </c>
      <c r="H270" s="137">
        <f t="shared" si="40"/>
        <v>21289.485000000001</v>
      </c>
    </row>
    <row r="271" spans="1:8" ht="15" customHeight="1">
      <c r="A271" s="276"/>
      <c r="B271" s="276"/>
      <c r="C271" s="276"/>
      <c r="D271" s="277"/>
      <c r="E271" s="276"/>
      <c r="F271" s="276"/>
      <c r="G271" s="278"/>
      <c r="H271" s="276"/>
    </row>
    <row r="272" spans="1:8" ht="24.75" customHeight="1">
      <c r="A272" s="50" t="s">
        <v>3</v>
      </c>
      <c r="B272" s="50" t="s">
        <v>4</v>
      </c>
      <c r="C272" s="50" t="s">
        <v>5</v>
      </c>
      <c r="D272" s="9" t="s">
        <v>6</v>
      </c>
      <c r="E272" s="50" t="s">
        <v>7</v>
      </c>
      <c r="F272" s="75" t="s">
        <v>8</v>
      </c>
      <c r="G272" s="28" t="str">
        <f>G266</f>
        <v>COMPENSACIONES</v>
      </c>
      <c r="H272" s="50" t="s">
        <v>10</v>
      </c>
    </row>
    <row r="273" spans="1:11" ht="50.25" customHeight="1">
      <c r="A273" s="32" t="s">
        <v>177</v>
      </c>
      <c r="B273" s="17" t="s">
        <v>178</v>
      </c>
      <c r="C273" s="29">
        <f>'[7]MADRE BANCO'!$G$198</f>
        <v>6720.84</v>
      </c>
      <c r="D273" s="31">
        <f>'[7]MADRE BANCO'!$H$198</f>
        <v>201.76</v>
      </c>
      <c r="E273" s="40"/>
      <c r="F273" s="40">
        <v>153</v>
      </c>
      <c r="G273" s="79"/>
      <c r="H273" s="40">
        <f t="shared" ref="H273:H279" si="41">C273-D273+E273+F273+G273</f>
        <v>6672.08</v>
      </c>
    </row>
    <row r="274" spans="1:11" ht="51" customHeight="1">
      <c r="A274" s="34" t="s">
        <v>179</v>
      </c>
      <c r="B274" s="17" t="s">
        <v>178</v>
      </c>
      <c r="C274" s="29">
        <f>6096*1.05*1.05</f>
        <v>6720.84</v>
      </c>
      <c r="D274" s="31">
        <f>183*1.05*1.05</f>
        <v>201.75750000000002</v>
      </c>
      <c r="E274" s="40"/>
      <c r="F274" s="40">
        <v>153</v>
      </c>
      <c r="G274" s="79"/>
      <c r="H274" s="40">
        <f t="shared" si="41"/>
        <v>6672.0825000000004</v>
      </c>
    </row>
    <row r="275" spans="1:11" ht="51" customHeight="1">
      <c r="A275" s="34" t="s">
        <v>180</v>
      </c>
      <c r="B275" s="17" t="s">
        <v>178</v>
      </c>
      <c r="C275" s="29">
        <f>6096*1.05*1.05</f>
        <v>6720.84</v>
      </c>
      <c r="D275" s="31">
        <f>183*1.05*1.05</f>
        <v>201.75750000000002</v>
      </c>
      <c r="E275" s="40"/>
      <c r="F275" s="40">
        <v>153</v>
      </c>
      <c r="G275" s="79"/>
      <c r="H275" s="40">
        <f t="shared" si="41"/>
        <v>6672.0825000000004</v>
      </c>
    </row>
    <row r="276" spans="1:11" ht="51" customHeight="1">
      <c r="A276" s="32" t="s">
        <v>181</v>
      </c>
      <c r="B276" s="17" t="s">
        <v>178</v>
      </c>
      <c r="C276" s="29">
        <f>6822.9*1.05</f>
        <v>7164.0450000000001</v>
      </c>
      <c r="D276" s="31">
        <f>231*1.05</f>
        <v>242.55</v>
      </c>
      <c r="E276" s="40"/>
      <c r="F276" s="40">
        <v>175</v>
      </c>
      <c r="G276" s="79"/>
      <c r="H276" s="40">
        <f t="shared" si="41"/>
        <v>7096.4949999999999</v>
      </c>
    </row>
    <row r="277" spans="1:11" ht="54.95" customHeight="1">
      <c r="A277" s="15" t="s">
        <v>182</v>
      </c>
      <c r="B277" s="17" t="s">
        <v>183</v>
      </c>
      <c r="C277" s="29">
        <f>6400.8*1.05</f>
        <v>6720.84</v>
      </c>
      <c r="D277" s="31">
        <f>192.15*1.05</f>
        <v>201.75750000000002</v>
      </c>
      <c r="E277" s="40"/>
      <c r="F277" s="40">
        <v>153</v>
      </c>
      <c r="G277" s="198"/>
      <c r="H277" s="40">
        <f t="shared" si="41"/>
        <v>6672.0825000000004</v>
      </c>
    </row>
    <row r="278" spans="1:11" ht="51" customHeight="1">
      <c r="A278" s="15" t="s">
        <v>184</v>
      </c>
      <c r="B278" s="17" t="s">
        <v>183</v>
      </c>
      <c r="C278" s="29">
        <f>6400.8*1.05</f>
        <v>6720.84</v>
      </c>
      <c r="D278" s="31">
        <f t="shared" ref="D278:D332" si="42">99*1.05*1.05</f>
        <v>109.14750000000001</v>
      </c>
      <c r="E278" s="40"/>
      <c r="F278" s="40">
        <v>153</v>
      </c>
      <c r="G278" s="198"/>
      <c r="H278" s="40">
        <f t="shared" si="41"/>
        <v>6764.6925000000001</v>
      </c>
    </row>
    <row r="279" spans="1:11" ht="51" customHeight="1">
      <c r="A279" s="32" t="s">
        <v>185</v>
      </c>
      <c r="B279" s="193" t="s">
        <v>178</v>
      </c>
      <c r="C279" s="113">
        <f>6720.84*1.05</f>
        <v>7056.8820000000005</v>
      </c>
      <c r="D279" s="127">
        <f>183*1.05*1.05</f>
        <v>201.75750000000002</v>
      </c>
      <c r="E279" s="47"/>
      <c r="F279" s="47">
        <v>153</v>
      </c>
      <c r="G279" s="81"/>
      <c r="H279" s="47">
        <f t="shared" si="41"/>
        <v>7008.1245000000008</v>
      </c>
    </row>
    <row r="280" spans="1:11" ht="25.5" customHeight="1">
      <c r="A280" s="55"/>
      <c r="B280" s="192" t="s">
        <v>176</v>
      </c>
      <c r="C280" s="137">
        <f>SUM(C273:C279)</f>
        <v>47825.126999999993</v>
      </c>
      <c r="D280" s="148">
        <f t="shared" ref="D280:H280" si="43">SUM(D273:D279)</f>
        <v>1360.4875</v>
      </c>
      <c r="E280" s="137">
        <f t="shared" si="43"/>
        <v>0</v>
      </c>
      <c r="F280" s="137">
        <f t="shared" si="43"/>
        <v>1093</v>
      </c>
      <c r="G280" s="149">
        <f t="shared" si="43"/>
        <v>0</v>
      </c>
      <c r="H280" s="137">
        <f t="shared" si="43"/>
        <v>47557.639499999997</v>
      </c>
    </row>
    <row r="281" spans="1:11" ht="15" customHeight="1">
      <c r="A281" s="296"/>
      <c r="B281" s="296"/>
      <c r="C281" s="296"/>
      <c r="D281" s="287"/>
      <c r="E281" s="296"/>
      <c r="F281" s="296"/>
      <c r="G281" s="288"/>
      <c r="H281" s="296"/>
    </row>
    <row r="282" spans="1:11" ht="24.75" customHeight="1">
      <c r="A282" s="50" t="s">
        <v>3</v>
      </c>
      <c r="B282" s="50" t="s">
        <v>4</v>
      </c>
      <c r="C282" s="50" t="s">
        <v>5</v>
      </c>
      <c r="D282" s="9" t="s">
        <v>6</v>
      </c>
      <c r="E282" s="50" t="s">
        <v>7</v>
      </c>
      <c r="F282" s="75" t="s">
        <v>8</v>
      </c>
      <c r="G282" s="28" t="str">
        <f>G272</f>
        <v>COMPENSACIONES</v>
      </c>
      <c r="H282" s="50" t="s">
        <v>10</v>
      </c>
    </row>
    <row r="283" spans="1:11" ht="51" customHeight="1">
      <c r="A283" s="32" t="s">
        <v>186</v>
      </c>
      <c r="B283" s="17" t="s">
        <v>183</v>
      </c>
      <c r="C283" s="29">
        <f>5545*1.05*1.05</f>
        <v>6113.3625000000002</v>
      </c>
      <c r="D283" s="31">
        <f>99*1.05*1.05</f>
        <v>109.14750000000001</v>
      </c>
      <c r="E283" s="40"/>
      <c r="F283" s="40">
        <v>126</v>
      </c>
      <c r="G283" s="198"/>
      <c r="H283" s="40">
        <f>C283-D283+E283+F283+G283</f>
        <v>6130.2150000000001</v>
      </c>
      <c r="K283" s="11" t="e">
        <f>5844.3-#REF!</f>
        <v>#REF!</v>
      </c>
    </row>
    <row r="284" spans="1:11" ht="51" customHeight="1">
      <c r="A284" s="32" t="s">
        <v>187</v>
      </c>
      <c r="B284" s="17" t="s">
        <v>183</v>
      </c>
      <c r="C284" s="29">
        <f>5545*1.05*1.05</f>
        <v>6113.3625000000002</v>
      </c>
      <c r="D284" s="31">
        <f t="shared" si="42"/>
        <v>109.14750000000001</v>
      </c>
      <c r="E284" s="40"/>
      <c r="F284" s="40">
        <v>126</v>
      </c>
      <c r="G284" s="198"/>
      <c r="H284" s="40">
        <f>C284-D284+E284+F284+G284</f>
        <v>6130.2150000000001</v>
      </c>
    </row>
    <row r="285" spans="1:11" s="1" customFormat="1" ht="51" customHeight="1">
      <c r="A285" s="32" t="s">
        <v>188</v>
      </c>
      <c r="B285" s="17" t="s">
        <v>183</v>
      </c>
      <c r="C285" s="29">
        <f>5823.3*1.05</f>
        <v>6114.4650000000001</v>
      </c>
      <c r="D285" s="31">
        <f t="shared" si="42"/>
        <v>109.14750000000001</v>
      </c>
      <c r="E285" s="40"/>
      <c r="F285" s="40"/>
      <c r="G285" s="198"/>
      <c r="H285" s="40">
        <f>C285-D285+E285+G285</f>
        <v>6005.3175000000001</v>
      </c>
    </row>
    <row r="286" spans="1:11" ht="51" customHeight="1">
      <c r="A286" s="15" t="s">
        <v>189</v>
      </c>
      <c r="B286" s="17" t="s">
        <v>183</v>
      </c>
      <c r="C286" s="29">
        <f>5545*1.05*1.05</f>
        <v>6113.3625000000002</v>
      </c>
      <c r="D286" s="31">
        <f t="shared" si="42"/>
        <v>109.14750000000001</v>
      </c>
      <c r="E286" s="40"/>
      <c r="F286" s="40">
        <v>126</v>
      </c>
      <c r="G286" s="198"/>
      <c r="H286" s="40">
        <f t="shared" ref="H286:H293" si="44">C286-D286+E286+F286+G286</f>
        <v>6130.2150000000001</v>
      </c>
    </row>
    <row r="287" spans="1:11" ht="51" customHeight="1">
      <c r="A287" s="18" t="s">
        <v>190</v>
      </c>
      <c r="B287" s="17" t="s">
        <v>183</v>
      </c>
      <c r="C287" s="29">
        <f t="shared" ref="C287:C332" si="45">5822.25*1.05</f>
        <v>6113.3625000000002</v>
      </c>
      <c r="D287" s="31">
        <f t="shared" si="42"/>
        <v>109.14750000000001</v>
      </c>
      <c r="E287" s="40"/>
      <c r="F287" s="40">
        <v>126</v>
      </c>
      <c r="G287" s="198"/>
      <c r="H287" s="40">
        <f t="shared" si="44"/>
        <v>6130.2150000000001</v>
      </c>
    </row>
    <row r="288" spans="1:11" ht="51" customHeight="1">
      <c r="A288" s="18" t="s">
        <v>191</v>
      </c>
      <c r="B288" s="17" t="s">
        <v>183</v>
      </c>
      <c r="C288" s="29">
        <f t="shared" si="45"/>
        <v>6113.3625000000002</v>
      </c>
      <c r="D288" s="31">
        <f t="shared" si="42"/>
        <v>109.14750000000001</v>
      </c>
      <c r="E288" s="40"/>
      <c r="F288" s="40">
        <v>126</v>
      </c>
      <c r="G288" s="198"/>
      <c r="H288" s="40">
        <f t="shared" ref="H288:H292" si="46">C288-D288+E288+F288+G288</f>
        <v>6130.2150000000001</v>
      </c>
    </row>
    <row r="289" spans="1:8" ht="51" customHeight="1">
      <c r="A289" s="18" t="s">
        <v>192</v>
      </c>
      <c r="B289" s="17" t="s">
        <v>183</v>
      </c>
      <c r="C289" s="29">
        <f t="shared" si="45"/>
        <v>6113.3625000000002</v>
      </c>
      <c r="D289" s="31">
        <f t="shared" si="42"/>
        <v>109.14750000000001</v>
      </c>
      <c r="E289" s="40"/>
      <c r="F289" s="40">
        <v>126</v>
      </c>
      <c r="G289" s="198"/>
      <c r="H289" s="40">
        <f t="shared" si="46"/>
        <v>6130.2150000000001</v>
      </c>
    </row>
    <row r="290" spans="1:8" ht="51" customHeight="1">
      <c r="A290" s="18" t="s">
        <v>193</v>
      </c>
      <c r="B290" s="17" t="s">
        <v>183</v>
      </c>
      <c r="C290" s="29">
        <f t="shared" si="45"/>
        <v>6113.3625000000002</v>
      </c>
      <c r="D290" s="31">
        <f t="shared" si="42"/>
        <v>109.14750000000001</v>
      </c>
      <c r="E290" s="40"/>
      <c r="F290" s="40">
        <v>126</v>
      </c>
      <c r="G290" s="198"/>
      <c r="H290" s="40">
        <f t="shared" si="46"/>
        <v>6130.2150000000001</v>
      </c>
    </row>
    <row r="291" spans="1:8" ht="54" customHeight="1">
      <c r="A291" s="18" t="s">
        <v>194</v>
      </c>
      <c r="B291" s="17" t="s">
        <v>183</v>
      </c>
      <c r="C291" s="29">
        <f t="shared" si="45"/>
        <v>6113.3625000000002</v>
      </c>
      <c r="D291" s="31">
        <f t="shared" si="42"/>
        <v>109.14750000000001</v>
      </c>
      <c r="E291" s="40"/>
      <c r="F291" s="40">
        <v>126</v>
      </c>
      <c r="G291" s="198"/>
      <c r="H291" s="40">
        <f t="shared" si="46"/>
        <v>6130.2150000000001</v>
      </c>
    </row>
    <row r="292" spans="1:8" ht="51" customHeight="1">
      <c r="A292" s="15" t="s">
        <v>195</v>
      </c>
      <c r="B292" s="17" t="s">
        <v>183</v>
      </c>
      <c r="C292" s="29">
        <f t="shared" si="45"/>
        <v>6113.3625000000002</v>
      </c>
      <c r="D292" s="31">
        <f t="shared" si="42"/>
        <v>109.14750000000001</v>
      </c>
      <c r="E292" s="40"/>
      <c r="F292" s="40">
        <v>126</v>
      </c>
      <c r="G292" s="198"/>
      <c r="H292" s="40">
        <f t="shared" si="46"/>
        <v>6130.2150000000001</v>
      </c>
    </row>
    <row r="293" spans="1:8" ht="51" customHeight="1">
      <c r="A293" s="15" t="s">
        <v>196</v>
      </c>
      <c r="B293" s="17" t="s">
        <v>183</v>
      </c>
      <c r="C293" s="29">
        <f t="shared" si="45"/>
        <v>6113.3625000000002</v>
      </c>
      <c r="D293" s="31">
        <f t="shared" si="42"/>
        <v>109.14750000000001</v>
      </c>
      <c r="E293" s="40"/>
      <c r="F293" s="40">
        <v>126</v>
      </c>
      <c r="G293" s="198"/>
      <c r="H293" s="40">
        <f t="shared" si="44"/>
        <v>6130.2150000000001</v>
      </c>
    </row>
    <row r="295" spans="1:8" ht="33" customHeight="1">
      <c r="A295" s="191"/>
      <c r="B295" s="192" t="s">
        <v>176</v>
      </c>
      <c r="C295" s="194">
        <f t="shared" ref="C295:H295" si="47">SUM(C283:C294)</f>
        <v>67248.090000000011</v>
      </c>
      <c r="D295" s="199">
        <f t="shared" si="47"/>
        <v>1200.6225000000002</v>
      </c>
      <c r="E295" s="194">
        <f t="shared" si="47"/>
        <v>0</v>
      </c>
      <c r="F295" s="194">
        <f t="shared" si="47"/>
        <v>1260</v>
      </c>
      <c r="G295" s="200">
        <f t="shared" si="47"/>
        <v>0</v>
      </c>
      <c r="H295" s="194">
        <f t="shared" si="47"/>
        <v>67307.467499999984</v>
      </c>
    </row>
    <row r="296" spans="1:8" ht="30" customHeight="1">
      <c r="A296" s="19"/>
      <c r="B296" s="192" t="s">
        <v>197</v>
      </c>
      <c r="C296" s="137">
        <f t="shared" ref="C296:H296" si="48">SUM(C264+C270+C280+C295)</f>
        <v>156200.28899999999</v>
      </c>
      <c r="D296" s="148">
        <f t="shared" si="48"/>
        <v>4174.9495000000006</v>
      </c>
      <c r="E296" s="137">
        <f t="shared" si="48"/>
        <v>0</v>
      </c>
      <c r="F296" s="137">
        <f t="shared" si="48"/>
        <v>3158</v>
      </c>
      <c r="G296" s="149">
        <f t="shared" si="48"/>
        <v>0</v>
      </c>
      <c r="H296" s="137">
        <f t="shared" si="48"/>
        <v>155183.3395</v>
      </c>
    </row>
    <row r="297" spans="1:8" ht="15" customHeight="1">
      <c r="A297" s="283"/>
      <c r="B297" s="283"/>
      <c r="C297" s="283"/>
      <c r="D297" s="283"/>
      <c r="E297" s="283"/>
      <c r="F297" s="283"/>
      <c r="G297" s="284"/>
      <c r="H297" s="283"/>
    </row>
    <row r="298" spans="1:8" ht="15" customHeight="1">
      <c r="A298" s="283"/>
      <c r="B298" s="283"/>
      <c r="C298" s="283"/>
      <c r="D298" s="283"/>
      <c r="E298" s="283"/>
      <c r="F298" s="283"/>
      <c r="G298" s="284"/>
      <c r="H298" s="283"/>
    </row>
    <row r="299" spans="1:8" ht="15" customHeight="1">
      <c r="A299" s="285"/>
      <c r="B299" s="285"/>
      <c r="C299" s="285"/>
      <c r="D299" s="285"/>
      <c r="E299" s="285"/>
      <c r="F299" s="285"/>
      <c r="G299" s="286"/>
      <c r="H299" s="285"/>
    </row>
    <row r="300" spans="1:8" ht="15" customHeight="1">
      <c r="A300" s="276"/>
      <c r="B300" s="276"/>
      <c r="C300" s="276"/>
      <c r="D300" s="277"/>
      <c r="E300" s="276"/>
      <c r="F300" s="276"/>
      <c r="G300" s="278"/>
      <c r="H300" s="276"/>
    </row>
    <row r="301" spans="1:8" ht="24.75" customHeight="1">
      <c r="A301" s="50" t="s">
        <v>3</v>
      </c>
      <c r="B301" s="50" t="s">
        <v>4</v>
      </c>
      <c r="C301" s="50" t="s">
        <v>5</v>
      </c>
      <c r="D301" s="9" t="s">
        <v>6</v>
      </c>
      <c r="E301" s="50" t="s">
        <v>7</v>
      </c>
      <c r="F301" s="75" t="s">
        <v>8</v>
      </c>
      <c r="G301" s="28" t="str">
        <f>G282</f>
        <v>COMPENSACIONES</v>
      </c>
      <c r="H301" s="50" t="s">
        <v>10</v>
      </c>
    </row>
    <row r="302" spans="1:8" ht="57" customHeight="1">
      <c r="A302" s="34" t="s">
        <v>198</v>
      </c>
      <c r="B302" s="33" t="s">
        <v>199</v>
      </c>
      <c r="C302" s="29">
        <f>7408*1.04*1.05</f>
        <v>8089.536000000001</v>
      </c>
      <c r="D302" s="31">
        <f>336*1.04*1.05</f>
        <v>366.91200000000003</v>
      </c>
      <c r="E302" s="40"/>
      <c r="F302" s="40"/>
      <c r="G302" s="198"/>
      <c r="H302" s="40">
        <f>C302-D302+G302</f>
        <v>7722.6240000000007</v>
      </c>
    </row>
    <row r="303" spans="1:8" ht="54.95" customHeight="1">
      <c r="A303" s="36" t="s">
        <v>200</v>
      </c>
      <c r="B303" s="33" t="s">
        <v>199</v>
      </c>
      <c r="C303" s="29">
        <f>'[3]MADRE BANCO'!$G$226</f>
        <v>6690</v>
      </c>
      <c r="D303" s="31">
        <v>190</v>
      </c>
      <c r="E303" s="40"/>
      <c r="F303" s="40"/>
      <c r="G303" s="79"/>
      <c r="H303" s="40">
        <f>C303-D303+G303</f>
        <v>6500</v>
      </c>
    </row>
    <row r="304" spans="1:8" s="1" customFormat="1" ht="54">
      <c r="A304" s="34" t="s">
        <v>201</v>
      </c>
      <c r="B304" s="161" t="s">
        <v>120</v>
      </c>
      <c r="C304" s="29">
        <f>7215*1.05*1.05</f>
        <v>7954.5375000000004</v>
      </c>
      <c r="D304" s="31">
        <f>220*1.05*1.05</f>
        <v>242.55</v>
      </c>
      <c r="E304" s="40"/>
      <c r="F304" s="40"/>
      <c r="G304" s="79"/>
      <c r="H304" s="40">
        <f>C304-D304+E304+G304</f>
        <v>7711.9875000000002</v>
      </c>
    </row>
    <row r="305" spans="1:8" ht="27.75" customHeight="1">
      <c r="A305" s="172"/>
      <c r="B305" s="20" t="s">
        <v>23</v>
      </c>
      <c r="C305" s="41">
        <f>SUM(C302:C304)</f>
        <v>22734.073499999999</v>
      </c>
      <c r="D305" s="72">
        <f>SUM(D302:D304)</f>
        <v>799.46199999999999</v>
      </c>
      <c r="E305" s="41">
        <f>SUM(E302:E302)</f>
        <v>0</v>
      </c>
      <c r="F305" s="41">
        <f>SUM(F302:F302)</f>
        <v>0</v>
      </c>
      <c r="G305" s="73">
        <f>SUM(G302:G302)</f>
        <v>0</v>
      </c>
      <c r="H305" s="41">
        <f>SUM(H302:H304)</f>
        <v>21934.611499999999</v>
      </c>
    </row>
    <row r="306" spans="1:8" ht="18" customHeight="1">
      <c r="A306" s="283"/>
      <c r="B306" s="283"/>
      <c r="C306" s="283"/>
      <c r="D306" s="283"/>
      <c r="E306" s="283"/>
      <c r="F306" s="283"/>
      <c r="G306" s="284"/>
      <c r="H306" s="283"/>
    </row>
    <row r="307" spans="1:8" ht="17.25" customHeight="1">
      <c r="A307" s="283"/>
      <c r="B307" s="283"/>
      <c r="C307" s="283"/>
      <c r="D307" s="283"/>
      <c r="E307" s="283"/>
      <c r="F307" s="283"/>
      <c r="G307" s="284"/>
      <c r="H307" s="283"/>
    </row>
    <row r="308" spans="1:8" ht="17.25" customHeight="1">
      <c r="A308" s="285"/>
      <c r="B308" s="285"/>
      <c r="C308" s="285"/>
      <c r="D308" s="285"/>
      <c r="E308" s="285"/>
      <c r="F308" s="285"/>
      <c r="G308" s="286"/>
      <c r="H308" s="285"/>
    </row>
    <row r="309" spans="1:8" ht="21.75" customHeight="1">
      <c r="A309" s="293"/>
      <c r="B309" s="293"/>
      <c r="C309" s="293"/>
      <c r="D309" s="294"/>
      <c r="E309" s="293"/>
      <c r="F309" s="293"/>
      <c r="G309" s="295"/>
      <c r="H309" s="293"/>
    </row>
    <row r="310" spans="1:8" ht="26.25" customHeight="1">
      <c r="A310" s="50" t="s">
        <v>3</v>
      </c>
      <c r="B310" s="50" t="s">
        <v>4</v>
      </c>
      <c r="C310" s="50" t="s">
        <v>5</v>
      </c>
      <c r="D310" s="9" t="s">
        <v>6</v>
      </c>
      <c r="E310" s="50" t="s">
        <v>7</v>
      </c>
      <c r="F310" s="75" t="s">
        <v>8</v>
      </c>
      <c r="G310" s="28" t="str">
        <f>G301</f>
        <v>COMPENSACIONES</v>
      </c>
      <c r="H310" s="50" t="s">
        <v>10</v>
      </c>
    </row>
    <row r="311" spans="1:8" ht="26.25" customHeight="1">
      <c r="A311" s="195"/>
      <c r="B311" s="17"/>
      <c r="C311" s="40"/>
      <c r="D311" s="69"/>
      <c r="E311" s="40"/>
      <c r="F311" s="40"/>
      <c r="G311" s="173"/>
      <c r="H311" s="40">
        <f>C311-D311+E311</f>
        <v>0</v>
      </c>
    </row>
    <row r="312" spans="1:8" ht="25.5" customHeight="1">
      <c r="A312" s="172"/>
      <c r="B312" s="20" t="s">
        <v>23</v>
      </c>
      <c r="C312" s="41">
        <f>SUM(C311:C311)</f>
        <v>0</v>
      </c>
      <c r="D312" s="72">
        <f>SUM(D311:D311)</f>
        <v>0</v>
      </c>
      <c r="E312" s="41">
        <f>SUM(E311:E311)</f>
        <v>0</v>
      </c>
      <c r="F312" s="41">
        <f t="shared" ref="F312:H312" si="49">SUM(F311:F311)</f>
        <v>0</v>
      </c>
      <c r="G312" s="73">
        <f t="shared" si="49"/>
        <v>0</v>
      </c>
      <c r="H312" s="41">
        <f t="shared" si="49"/>
        <v>0</v>
      </c>
    </row>
    <row r="313" spans="1:8" ht="15" customHeight="1">
      <c r="A313" s="283"/>
      <c r="B313" s="283"/>
      <c r="C313" s="283"/>
      <c r="D313" s="283"/>
      <c r="E313" s="283"/>
      <c r="F313" s="283"/>
      <c r="G313" s="284"/>
      <c r="H313" s="283"/>
    </row>
    <row r="314" spans="1:8" ht="17.25" customHeight="1">
      <c r="A314" s="283"/>
      <c r="B314" s="283"/>
      <c r="C314" s="283"/>
      <c r="D314" s="283"/>
      <c r="E314" s="283"/>
      <c r="F314" s="283"/>
      <c r="G314" s="284"/>
      <c r="H314" s="283"/>
    </row>
    <row r="315" spans="1:8" ht="15" customHeight="1">
      <c r="A315" s="285"/>
      <c r="B315" s="285"/>
      <c r="C315" s="285"/>
      <c r="D315" s="285"/>
      <c r="E315" s="285"/>
      <c r="F315" s="285"/>
      <c r="G315" s="286"/>
      <c r="H315" s="285"/>
    </row>
    <row r="316" spans="1:8" ht="15" customHeight="1">
      <c r="A316" s="276"/>
      <c r="B316" s="276"/>
      <c r="C316" s="276"/>
      <c r="D316" s="277"/>
      <c r="E316" s="276"/>
      <c r="F316" s="276"/>
      <c r="G316" s="278"/>
      <c r="H316" s="276"/>
    </row>
    <row r="317" spans="1:8" ht="24.75" customHeight="1">
      <c r="A317" s="50" t="s">
        <v>3</v>
      </c>
      <c r="B317" s="50" t="s">
        <v>4</v>
      </c>
      <c r="C317" s="50" t="s">
        <v>5</v>
      </c>
      <c r="D317" s="9" t="s">
        <v>6</v>
      </c>
      <c r="E317" s="50" t="s">
        <v>7</v>
      </c>
      <c r="F317" s="75" t="s">
        <v>8</v>
      </c>
      <c r="G317" s="28" t="str">
        <f>G310</f>
        <v>COMPENSACIONES</v>
      </c>
      <c r="H317" s="50" t="s">
        <v>10</v>
      </c>
    </row>
    <row r="318" spans="1:8" s="2" customFormat="1" ht="48.95" customHeight="1">
      <c r="A318" s="45" t="s">
        <v>202</v>
      </c>
      <c r="B318" s="57" t="s">
        <v>55</v>
      </c>
      <c r="C318" s="46">
        <f>7028.8*1.05</f>
        <v>7380.2400000000007</v>
      </c>
      <c r="D318" s="77">
        <f>220*1.04*1.05</f>
        <v>240.24</v>
      </c>
      <c r="E318" s="53"/>
      <c r="F318" s="53"/>
      <c r="G318" s="78"/>
      <c r="H318" s="53">
        <f>C318-D318+G318</f>
        <v>7140.0000000000009</v>
      </c>
    </row>
    <row r="319" spans="1:8" s="2" customFormat="1" ht="42" customHeight="1">
      <c r="A319" s="61" t="s">
        <v>203</v>
      </c>
      <c r="B319" s="196" t="s">
        <v>204</v>
      </c>
      <c r="C319" s="46">
        <f>10038*1.04*1.05</f>
        <v>10961.496000000001</v>
      </c>
      <c r="D319" s="77">
        <f>441*1.04*1.05</f>
        <v>481.57200000000006</v>
      </c>
      <c r="E319" s="53"/>
      <c r="F319" s="53"/>
      <c r="G319" s="201"/>
      <c r="H319" s="53">
        <f>C319-D319+E319+G319</f>
        <v>10479.924000000001</v>
      </c>
    </row>
    <row r="320" spans="1:8" ht="51" customHeight="1">
      <c r="A320" s="15" t="s">
        <v>205</v>
      </c>
      <c r="B320" s="16" t="s">
        <v>206</v>
      </c>
      <c r="C320" s="64">
        <f>5800*1.04*1.05</f>
        <v>6333.6</v>
      </c>
      <c r="D320" s="30">
        <f>175*1.04*1.05</f>
        <v>191.1</v>
      </c>
      <c r="E320" s="40"/>
      <c r="F320" s="40"/>
      <c r="G320" s="202"/>
      <c r="H320" s="40">
        <f t="shared" ref="H320:H330" si="50">C320-D320+E320+G320</f>
        <v>6142.5</v>
      </c>
    </row>
    <row r="321" spans="1:8" s="3" customFormat="1" ht="58.5" customHeight="1">
      <c r="A321" s="15" t="s">
        <v>207</v>
      </c>
      <c r="B321" s="16" t="s">
        <v>208</v>
      </c>
      <c r="C321" s="64">
        <f>5953*1.04*1.05</f>
        <v>6500.6760000000004</v>
      </c>
      <c r="D321" s="30">
        <f>183*1.04*1.05</f>
        <v>199.83600000000001</v>
      </c>
      <c r="E321" s="40"/>
      <c r="F321" s="40"/>
      <c r="G321" s="202"/>
      <c r="H321" s="40">
        <f t="shared" si="50"/>
        <v>6300.84</v>
      </c>
    </row>
    <row r="322" spans="1:8" ht="61.5" customHeight="1">
      <c r="A322" s="34" t="s">
        <v>209</v>
      </c>
      <c r="B322" s="33" t="s">
        <v>210</v>
      </c>
      <c r="C322" s="64">
        <f>3864*1.05*1.05</f>
        <v>4260.0600000000004</v>
      </c>
      <c r="D322" s="209"/>
      <c r="E322" s="40">
        <v>136</v>
      </c>
      <c r="F322" s="40"/>
      <c r="G322" s="202"/>
      <c r="H322" s="40">
        <f t="shared" si="50"/>
        <v>4396.0600000000004</v>
      </c>
    </row>
    <row r="323" spans="1:8" ht="57.95" customHeight="1">
      <c r="A323" s="32" t="s">
        <v>211</v>
      </c>
      <c r="B323" s="16" t="s">
        <v>210</v>
      </c>
      <c r="C323" s="29">
        <f>2693*1.05*1.05</f>
        <v>2969.0325000000003</v>
      </c>
      <c r="D323" s="31"/>
      <c r="E323" s="40">
        <v>105</v>
      </c>
      <c r="F323" s="40"/>
      <c r="G323" s="202"/>
      <c r="H323" s="40">
        <f t="shared" si="50"/>
        <v>3074.0325000000003</v>
      </c>
    </row>
    <row r="324" spans="1:8" ht="68.25" customHeight="1">
      <c r="A324" s="32" t="s">
        <v>212</v>
      </c>
      <c r="B324" s="33" t="s">
        <v>213</v>
      </c>
      <c r="C324" s="29">
        <f>5478*1.04*1.05</f>
        <v>5981.9760000000006</v>
      </c>
      <c r="D324" s="151">
        <f>102.96*1.05</f>
        <v>108.108</v>
      </c>
      <c r="E324" s="40"/>
      <c r="F324" s="40"/>
      <c r="G324" s="202"/>
      <c r="H324" s="40">
        <f t="shared" si="50"/>
        <v>5873.8680000000004</v>
      </c>
    </row>
    <row r="325" spans="1:8" ht="62.25" customHeight="1">
      <c r="A325" s="34" t="s">
        <v>214</v>
      </c>
      <c r="B325" s="33" t="s">
        <v>215</v>
      </c>
      <c r="C325" s="29">
        <f>8268*1.04*1.05</f>
        <v>9028.6560000000009</v>
      </c>
      <c r="D325" s="31">
        <f>367*1.04*1.05</f>
        <v>400.76400000000001</v>
      </c>
      <c r="E325" s="40"/>
      <c r="F325" s="40"/>
      <c r="G325" s="202"/>
      <c r="H325" s="40">
        <f t="shared" si="50"/>
        <v>8627.8920000000016</v>
      </c>
    </row>
    <row r="326" spans="1:8" ht="63" customHeight="1">
      <c r="A326" s="34" t="s">
        <v>216</v>
      </c>
      <c r="B326" s="33" t="s">
        <v>217</v>
      </c>
      <c r="C326" s="29">
        <f>4006*1.05*1.05</f>
        <v>4416.6150000000007</v>
      </c>
      <c r="D326" s="31"/>
      <c r="E326" s="40">
        <v>90</v>
      </c>
      <c r="G326" s="202"/>
      <c r="H326" s="40">
        <f t="shared" si="50"/>
        <v>4506.6150000000007</v>
      </c>
    </row>
    <row r="327" spans="1:8" ht="63" customHeight="1">
      <c r="A327" s="34" t="s">
        <v>218</v>
      </c>
      <c r="B327" s="33" t="s">
        <v>219</v>
      </c>
      <c r="C327" s="29">
        <f>3428*1.05*1.05+130.63</f>
        <v>3910.0000000000005</v>
      </c>
      <c r="D327" s="31"/>
      <c r="E327" s="40">
        <v>90</v>
      </c>
      <c r="G327" s="202"/>
      <c r="H327" s="40">
        <f t="shared" si="50"/>
        <v>4000.0000000000005</v>
      </c>
    </row>
    <row r="328" spans="1:8" ht="63" customHeight="1">
      <c r="A328" s="34" t="s">
        <v>220</v>
      </c>
      <c r="B328" s="33" t="s">
        <v>219</v>
      </c>
      <c r="C328" s="29">
        <f>3658.5*1.05+350</f>
        <v>4191.4250000000002</v>
      </c>
      <c r="D328" s="31"/>
      <c r="E328" s="40">
        <v>90</v>
      </c>
      <c r="G328" s="202"/>
      <c r="H328" s="40">
        <f t="shared" si="50"/>
        <v>4281.4250000000002</v>
      </c>
    </row>
    <row r="329" spans="1:8" ht="66.75" customHeight="1">
      <c r="A329" s="34" t="s">
        <v>221</v>
      </c>
      <c r="B329" s="33" t="s">
        <v>219</v>
      </c>
      <c r="C329" s="29">
        <f>3370*1.05*1.05+350</f>
        <v>4065.4250000000002</v>
      </c>
      <c r="D329" s="31"/>
      <c r="E329" s="40">
        <v>90</v>
      </c>
      <c r="G329" s="202"/>
      <c r="H329" s="40">
        <f t="shared" si="50"/>
        <v>4155.4250000000002</v>
      </c>
    </row>
    <row r="330" spans="1:8" ht="61.5" customHeight="1">
      <c r="A330" s="34" t="s">
        <v>222</v>
      </c>
      <c r="B330" s="33" t="s">
        <v>219</v>
      </c>
      <c r="C330" s="29">
        <f>'[8]MADRE BANCO'!$G$246</f>
        <v>3910</v>
      </c>
      <c r="D330" s="31"/>
      <c r="E330" s="40">
        <v>90</v>
      </c>
      <c r="G330" s="202"/>
      <c r="H330" s="40">
        <f t="shared" si="50"/>
        <v>4000</v>
      </c>
    </row>
    <row r="331" spans="1:8" ht="61.5" customHeight="1">
      <c r="A331" s="203" t="s">
        <v>223</v>
      </c>
      <c r="B331" s="33" t="s">
        <v>219</v>
      </c>
      <c r="C331" s="29">
        <v>0</v>
      </c>
      <c r="D331" s="31">
        <v>0</v>
      </c>
      <c r="E331" s="210"/>
      <c r="F331" s="138"/>
      <c r="G331" s="202"/>
      <c r="H331" s="211">
        <f>C331-D331+E331+F331+G331</f>
        <v>0</v>
      </c>
    </row>
    <row r="332" spans="1:8" ht="60.95" customHeight="1">
      <c r="A332" s="18" t="s">
        <v>224</v>
      </c>
      <c r="B332" s="33" t="s">
        <v>219</v>
      </c>
      <c r="C332" s="29">
        <f t="shared" si="45"/>
        <v>6113.3625000000002</v>
      </c>
      <c r="D332" s="31">
        <f t="shared" si="42"/>
        <v>109.14750000000001</v>
      </c>
      <c r="E332" s="40"/>
      <c r="F332" s="40">
        <v>126</v>
      </c>
      <c r="G332" s="198"/>
      <c r="H332" s="40">
        <f>C332-D332+E332+F332+G332</f>
        <v>6130.2150000000001</v>
      </c>
    </row>
    <row r="333" spans="1:8" ht="63" customHeight="1">
      <c r="A333" s="32" t="s">
        <v>225</v>
      </c>
      <c r="B333" s="33" t="s">
        <v>217</v>
      </c>
      <c r="C333" s="29">
        <f>3370*1.05*1.05</f>
        <v>3715.4250000000002</v>
      </c>
      <c r="D333" s="31"/>
      <c r="E333" s="40">
        <v>90</v>
      </c>
      <c r="G333" s="202"/>
      <c r="H333" s="40">
        <f t="shared" ref="H333" si="51">C333-D333+E333+G333</f>
        <v>3805.4250000000002</v>
      </c>
    </row>
    <row r="334" spans="1:8" ht="24" customHeight="1">
      <c r="A334" s="55"/>
      <c r="B334" s="63" t="s">
        <v>51</v>
      </c>
      <c r="C334" s="41">
        <f t="shared" ref="C334:H334" si="52">SUM(C318:C333)</f>
        <v>83737.989000000016</v>
      </c>
      <c r="D334" s="72">
        <f t="shared" si="52"/>
        <v>1730.7674999999999</v>
      </c>
      <c r="E334" s="41">
        <f t="shared" si="52"/>
        <v>781</v>
      </c>
      <c r="F334" s="41">
        <f t="shared" si="52"/>
        <v>126</v>
      </c>
      <c r="G334" s="73">
        <f t="shared" si="52"/>
        <v>0</v>
      </c>
      <c r="H334" s="41">
        <f t="shared" si="52"/>
        <v>82914.2215</v>
      </c>
    </row>
    <row r="335" spans="1:8" ht="15" customHeight="1">
      <c r="A335" s="287"/>
      <c r="B335" s="287"/>
      <c r="C335" s="287"/>
      <c r="D335" s="287"/>
      <c r="E335" s="287"/>
      <c r="F335" s="287"/>
      <c r="G335" s="288"/>
      <c r="H335" s="287"/>
    </row>
    <row r="336" spans="1:8" ht="24.75" customHeight="1">
      <c r="A336" s="50" t="s">
        <v>3</v>
      </c>
      <c r="B336" s="50" t="s">
        <v>4</v>
      </c>
      <c r="C336" s="50" t="s">
        <v>5</v>
      </c>
      <c r="D336" s="9" t="s">
        <v>6</v>
      </c>
      <c r="E336" s="50" t="s">
        <v>7</v>
      </c>
      <c r="F336" s="75" t="s">
        <v>8</v>
      </c>
      <c r="G336" s="28" t="str">
        <f>G317</f>
        <v>COMPENSACIONES</v>
      </c>
      <c r="H336" s="50" t="s">
        <v>10</v>
      </c>
    </row>
    <row r="338" spans="1:8" ht="55.5" customHeight="1">
      <c r="A338" s="34" t="s">
        <v>226</v>
      </c>
      <c r="B338" s="33" t="s">
        <v>227</v>
      </c>
      <c r="C338" s="113">
        <f>6405*1.04*1.05</f>
        <v>6994.26</v>
      </c>
      <c r="D338" s="127">
        <f>183*1.04*1.05</f>
        <v>199.83600000000001</v>
      </c>
      <c r="E338" s="47"/>
      <c r="F338" s="47"/>
      <c r="G338" s="81"/>
      <c r="H338" s="47">
        <f>C338-D338+G338</f>
        <v>6794.424</v>
      </c>
    </row>
    <row r="339" spans="1:8" ht="32.1" customHeight="1">
      <c r="A339" s="204"/>
      <c r="B339" s="205" t="s">
        <v>51</v>
      </c>
      <c r="C339" s="206">
        <f t="shared" ref="C339:H339" si="53">SUM(C338)</f>
        <v>6994.26</v>
      </c>
      <c r="D339" s="212">
        <f t="shared" si="53"/>
        <v>199.83600000000001</v>
      </c>
      <c r="E339" s="206">
        <f t="shared" si="53"/>
        <v>0</v>
      </c>
      <c r="F339" s="206">
        <f t="shared" si="53"/>
        <v>0</v>
      </c>
      <c r="G339" s="213">
        <f t="shared" si="53"/>
        <v>0</v>
      </c>
      <c r="H339" s="206">
        <f t="shared" si="53"/>
        <v>6794.424</v>
      </c>
    </row>
    <row r="340" spans="1:8" ht="15" customHeight="1">
      <c r="A340" s="287"/>
      <c r="B340" s="287"/>
      <c r="C340" s="287"/>
      <c r="D340" s="287"/>
      <c r="E340" s="287"/>
      <c r="F340" s="287"/>
      <c r="G340" s="288"/>
      <c r="H340" s="287"/>
    </row>
    <row r="341" spans="1:8" ht="24.75" customHeight="1">
      <c r="A341" s="50" t="s">
        <v>3</v>
      </c>
      <c r="B341" s="50" t="s">
        <v>4</v>
      </c>
      <c r="C341" s="50" t="s">
        <v>5</v>
      </c>
      <c r="D341" s="9" t="s">
        <v>6</v>
      </c>
      <c r="E341" s="50" t="s">
        <v>7</v>
      </c>
      <c r="F341" s="75" t="s">
        <v>8</v>
      </c>
      <c r="G341" s="28" t="str">
        <f>G317</f>
        <v>COMPENSACIONES</v>
      </c>
      <c r="H341" s="50" t="s">
        <v>10</v>
      </c>
    </row>
    <row r="342" spans="1:8" ht="51" customHeight="1">
      <c r="A342" s="34" t="s">
        <v>228</v>
      </c>
      <c r="B342" s="33" t="s">
        <v>229</v>
      </c>
      <c r="C342" s="29">
        <f>6592*1.04*1.05</f>
        <v>7198.4640000000009</v>
      </c>
      <c r="D342" s="31">
        <f>220*1.04*1.05</f>
        <v>240.24</v>
      </c>
      <c r="E342" s="40"/>
      <c r="F342" s="40"/>
      <c r="G342" s="79"/>
      <c r="H342" s="40">
        <f t="shared" ref="H342:H350" si="54">C342-D342+E342+G342</f>
        <v>6958.2240000000011</v>
      </c>
    </row>
    <row r="343" spans="1:8" ht="51" customHeight="1">
      <c r="A343" s="36" t="s">
        <v>230</v>
      </c>
      <c r="B343" s="207" t="s">
        <v>61</v>
      </c>
      <c r="C343" s="29">
        <f>6700.72*1.05</f>
        <v>7035.7560000000003</v>
      </c>
      <c r="D343" s="31">
        <f>192.15*1.05</f>
        <v>201.75750000000002</v>
      </c>
      <c r="E343" s="29">
        <v>183</v>
      </c>
      <c r="F343" s="29"/>
      <c r="G343" s="79"/>
      <c r="H343" s="29">
        <f t="shared" si="54"/>
        <v>7016.9985000000006</v>
      </c>
    </row>
    <row r="344" spans="1:8" ht="51" customHeight="1">
      <c r="A344" s="34" t="s">
        <v>231</v>
      </c>
      <c r="B344" s="14" t="s">
        <v>232</v>
      </c>
      <c r="C344" s="64">
        <v>0</v>
      </c>
      <c r="D344" s="30">
        <v>0</v>
      </c>
      <c r="E344" s="40"/>
      <c r="F344" s="40"/>
      <c r="G344" s="79"/>
      <c r="H344" s="40">
        <f t="shared" si="54"/>
        <v>0</v>
      </c>
    </row>
    <row r="345" spans="1:8" ht="51" customHeight="1">
      <c r="A345" s="34" t="s">
        <v>233</v>
      </c>
      <c r="B345" s="14" t="s">
        <v>232</v>
      </c>
      <c r="C345" s="29">
        <f>5853*1.04*1.05</f>
        <v>6391.4760000000006</v>
      </c>
      <c r="D345" s="31">
        <f>183*1.04*1.05</f>
        <v>199.83600000000001</v>
      </c>
      <c r="E345" s="40"/>
      <c r="F345" s="40"/>
      <c r="G345" s="79"/>
      <c r="H345" s="40">
        <f t="shared" si="54"/>
        <v>6191.64</v>
      </c>
    </row>
    <row r="346" spans="1:8" ht="51" customHeight="1">
      <c r="A346" s="34" t="s">
        <v>234</v>
      </c>
      <c r="B346" s="14" t="s">
        <v>232</v>
      </c>
      <c r="C346" s="29">
        <f>4977*1.04*1.05</f>
        <v>5434.884</v>
      </c>
      <c r="D346" s="31"/>
      <c r="E346" s="40">
        <v>90</v>
      </c>
      <c r="F346" s="40"/>
      <c r="G346" s="79"/>
      <c r="H346" s="40">
        <f t="shared" si="54"/>
        <v>5524.884</v>
      </c>
    </row>
    <row r="347" spans="1:8" ht="51" customHeight="1">
      <c r="A347" s="34" t="s">
        <v>235</v>
      </c>
      <c r="B347" s="14" t="s">
        <v>232</v>
      </c>
      <c r="C347" s="29">
        <f>4977*1.04*1.05</f>
        <v>5434.884</v>
      </c>
      <c r="D347" s="31"/>
      <c r="E347" s="40">
        <v>90</v>
      </c>
      <c r="F347" s="40"/>
      <c r="G347" s="79"/>
      <c r="H347" s="40">
        <f t="shared" si="54"/>
        <v>5524.884</v>
      </c>
    </row>
    <row r="348" spans="1:8" ht="51" customHeight="1">
      <c r="A348" s="32" t="s">
        <v>236</v>
      </c>
      <c r="B348" s="33" t="s">
        <v>237</v>
      </c>
      <c r="C348" s="29">
        <v>0</v>
      </c>
      <c r="D348" s="31"/>
      <c r="E348" s="40">
        <v>0</v>
      </c>
      <c r="F348" s="40"/>
      <c r="G348" s="79"/>
      <c r="H348" s="40">
        <f t="shared" si="54"/>
        <v>0</v>
      </c>
    </row>
    <row r="349" spans="1:8" ht="54.95" customHeight="1">
      <c r="A349" s="32" t="s">
        <v>238</v>
      </c>
      <c r="B349" s="17" t="s">
        <v>232</v>
      </c>
      <c r="C349" s="29">
        <f>3709*1.04*1.05</f>
        <v>4050.2280000000005</v>
      </c>
      <c r="D349" s="31"/>
      <c r="E349" s="40">
        <v>95</v>
      </c>
      <c r="F349" s="40"/>
      <c r="G349" s="79"/>
      <c r="H349" s="40">
        <f t="shared" si="54"/>
        <v>4145.228000000001</v>
      </c>
    </row>
    <row r="350" spans="1:8" ht="51" customHeight="1">
      <c r="A350" s="32" t="s">
        <v>239</v>
      </c>
      <c r="B350" s="16" t="s">
        <v>240</v>
      </c>
      <c r="C350" s="29">
        <f>4977*1.04*1.05</f>
        <v>5434.884</v>
      </c>
      <c r="D350" s="31"/>
      <c r="E350" s="40">
        <v>90</v>
      </c>
      <c r="F350" s="40"/>
      <c r="G350" s="79"/>
      <c r="H350" s="40">
        <f t="shared" si="54"/>
        <v>5524.884</v>
      </c>
    </row>
    <row r="351" spans="1:8" ht="25.5" customHeight="1">
      <c r="A351" s="55"/>
      <c r="B351" s="63" t="s">
        <v>51</v>
      </c>
      <c r="C351" s="41">
        <f t="shared" ref="C351:H351" si="55">SUM(C342:C350)</f>
        <v>40980.576000000001</v>
      </c>
      <c r="D351" s="72">
        <f t="shared" si="55"/>
        <v>641.83350000000007</v>
      </c>
      <c r="E351" s="41">
        <f t="shared" si="55"/>
        <v>548</v>
      </c>
      <c r="F351" s="41">
        <f t="shared" si="55"/>
        <v>0</v>
      </c>
      <c r="G351" s="73">
        <f t="shared" si="55"/>
        <v>0</v>
      </c>
      <c r="H351" s="41">
        <f t="shared" si="55"/>
        <v>40886.7425</v>
      </c>
    </row>
    <row r="352" spans="1:8" ht="15" customHeight="1">
      <c r="A352" s="287"/>
      <c r="B352" s="287"/>
      <c r="C352" s="287"/>
      <c r="D352" s="287"/>
      <c r="E352" s="287"/>
      <c r="F352" s="287"/>
      <c r="G352" s="288"/>
      <c r="H352" s="287"/>
    </row>
    <row r="353" spans="1:8" ht="24.75" customHeight="1">
      <c r="A353" s="50" t="s">
        <v>3</v>
      </c>
      <c r="B353" s="50" t="s">
        <v>4</v>
      </c>
      <c r="C353" s="50" t="s">
        <v>5</v>
      </c>
      <c r="D353" s="9" t="s">
        <v>6</v>
      </c>
      <c r="E353" s="50" t="s">
        <v>7</v>
      </c>
      <c r="F353" s="75" t="s">
        <v>8</v>
      </c>
      <c r="G353" s="28" t="str">
        <f>G341</f>
        <v>COMPENSACIONES</v>
      </c>
      <c r="H353" s="50" t="s">
        <v>10</v>
      </c>
    </row>
    <row r="354" spans="1:8" ht="40.5" customHeight="1">
      <c r="A354" s="34" t="s">
        <v>241</v>
      </c>
      <c r="B354" s="33" t="s">
        <v>242</v>
      </c>
      <c r="C354" s="29">
        <f>5936*1.04*1.05</f>
        <v>6482.112000000001</v>
      </c>
      <c r="D354" s="31">
        <f>183*1.04*1.05</f>
        <v>199.83600000000001</v>
      </c>
      <c r="E354" s="64"/>
      <c r="F354" s="64"/>
      <c r="G354" s="79"/>
      <c r="H354" s="40">
        <f>C354-D354+E354+G354</f>
        <v>6282.2760000000007</v>
      </c>
    </row>
    <row r="355" spans="1:8" ht="40.5" customHeight="1">
      <c r="A355" s="34" t="s">
        <v>243</v>
      </c>
      <c r="B355" s="33" t="s">
        <v>244</v>
      </c>
      <c r="C355" s="29">
        <f>4756*1.04*1.05</f>
        <v>5193.5519999999997</v>
      </c>
      <c r="D355" s="31">
        <f>183*1.05</f>
        <v>192.15</v>
      </c>
      <c r="E355" s="40">
        <v>90</v>
      </c>
      <c r="F355" s="40"/>
      <c r="G355" s="79"/>
      <c r="H355" s="40">
        <f t="shared" ref="H355:H356" si="56">C355-D355+E355+G355</f>
        <v>5091.402</v>
      </c>
    </row>
    <row r="356" spans="1:8" ht="40.5" customHeight="1">
      <c r="A356" s="34" t="s">
        <v>245</v>
      </c>
      <c r="B356" s="14" t="s">
        <v>246</v>
      </c>
      <c r="C356" s="29">
        <f>4067*1.04*1.05</f>
        <v>4441.1640000000007</v>
      </c>
      <c r="D356" s="31"/>
      <c r="E356" s="40">
        <v>110</v>
      </c>
      <c r="F356" s="40"/>
      <c r="G356" s="79"/>
      <c r="H356" s="40">
        <f t="shared" si="56"/>
        <v>4551.1640000000007</v>
      </c>
    </row>
    <row r="357" spans="1:8" ht="25.5" customHeight="1">
      <c r="A357" s="55"/>
      <c r="B357" s="63" t="s">
        <v>51</v>
      </c>
      <c r="C357" s="41">
        <f>SUM(C354:C356)</f>
        <v>16116.828000000001</v>
      </c>
      <c r="D357" s="72">
        <f t="shared" ref="D357:H357" si="57">SUM(D354:D356)</f>
        <v>391.98599999999999</v>
      </c>
      <c r="E357" s="41">
        <f t="shared" si="57"/>
        <v>200</v>
      </c>
      <c r="F357" s="41">
        <f t="shared" si="57"/>
        <v>0</v>
      </c>
      <c r="G357" s="73">
        <f t="shared" si="57"/>
        <v>0</v>
      </c>
      <c r="H357" s="41">
        <f t="shared" si="57"/>
        <v>15924.842000000001</v>
      </c>
    </row>
    <row r="358" spans="1:8" ht="15" customHeight="1">
      <c r="A358" s="291"/>
      <c r="B358" s="291"/>
      <c r="C358" s="291"/>
      <c r="D358" s="291"/>
      <c r="E358" s="291"/>
      <c r="F358" s="291"/>
      <c r="G358" s="292"/>
      <c r="H358" s="291"/>
    </row>
    <row r="359" spans="1:8" ht="24.75" customHeight="1">
      <c r="A359" s="50" t="s">
        <v>3</v>
      </c>
      <c r="B359" s="50" t="s">
        <v>4</v>
      </c>
      <c r="C359" s="50" t="s">
        <v>5</v>
      </c>
      <c r="D359" s="9" t="s">
        <v>6</v>
      </c>
      <c r="E359" s="50" t="s">
        <v>7</v>
      </c>
      <c r="F359" s="75" t="s">
        <v>8</v>
      </c>
      <c r="G359" s="28" t="str">
        <f>G353</f>
        <v>COMPENSACIONES</v>
      </c>
      <c r="H359" s="50" t="s">
        <v>10</v>
      </c>
    </row>
    <row r="360" spans="1:8" ht="50.1" customHeight="1">
      <c r="A360" s="32" t="s">
        <v>247</v>
      </c>
      <c r="B360" s="14" t="s">
        <v>248</v>
      </c>
      <c r="C360" s="29">
        <f>4410*1.05*1.05</f>
        <v>4862.0250000000005</v>
      </c>
      <c r="D360" s="31"/>
      <c r="E360" s="40">
        <v>90</v>
      </c>
      <c r="F360" s="40"/>
      <c r="G360" s="79"/>
      <c r="H360" s="40">
        <f>C360-D360+E360+G360</f>
        <v>4952.0250000000005</v>
      </c>
    </row>
    <row r="361" spans="1:8" ht="50.1" customHeight="1">
      <c r="A361" s="32" t="s">
        <v>250</v>
      </c>
      <c r="B361" s="14" t="s">
        <v>248</v>
      </c>
      <c r="C361" s="29">
        <f>4866*1.05</f>
        <v>5109.3</v>
      </c>
      <c r="D361" s="31"/>
      <c r="E361" s="40">
        <v>90</v>
      </c>
      <c r="F361" s="40"/>
      <c r="G361" s="79"/>
      <c r="H361" s="40">
        <f t="shared" ref="H361:H376" si="58">C361-D361+E361+G361</f>
        <v>5199.3</v>
      </c>
    </row>
    <row r="362" spans="1:8" ht="65.099999999999994" customHeight="1">
      <c r="A362" s="32" t="s">
        <v>251</v>
      </c>
      <c r="B362" s="14" t="s">
        <v>120</v>
      </c>
      <c r="C362" s="29">
        <f>4701*1.05*1.05</f>
        <v>5182.8525</v>
      </c>
      <c r="D362" s="31"/>
      <c r="E362" s="40">
        <v>90</v>
      </c>
      <c r="F362" s="40"/>
      <c r="G362" s="79"/>
      <c r="H362" s="40">
        <f t="shared" si="58"/>
        <v>5272.8525</v>
      </c>
    </row>
    <row r="363" spans="1:8" ht="37.5" customHeight="1">
      <c r="A363" s="32" t="s">
        <v>252</v>
      </c>
      <c r="B363" s="14" t="s">
        <v>248</v>
      </c>
      <c r="C363" s="29">
        <f>4415*1.05*1.05</f>
        <v>4867.5375000000004</v>
      </c>
      <c r="D363" s="31"/>
      <c r="E363" s="40">
        <v>90</v>
      </c>
      <c r="F363" s="40"/>
      <c r="G363" s="79"/>
      <c r="H363" s="40">
        <f t="shared" si="58"/>
        <v>4957.5375000000004</v>
      </c>
    </row>
    <row r="364" spans="1:8" ht="60.95" customHeight="1">
      <c r="A364" s="32" t="s">
        <v>253</v>
      </c>
      <c r="B364" s="14" t="s">
        <v>248</v>
      </c>
      <c r="C364" s="29">
        <f>4635.75*1.05</f>
        <v>4867.5375000000004</v>
      </c>
      <c r="D364" s="31"/>
      <c r="E364" s="40">
        <v>90</v>
      </c>
      <c r="F364" s="40"/>
      <c r="G364" s="79"/>
      <c r="H364" s="40">
        <f t="shared" si="58"/>
        <v>4957.5375000000004</v>
      </c>
    </row>
    <row r="365" spans="1:8" ht="50.1" customHeight="1">
      <c r="A365" s="34" t="s">
        <v>254</v>
      </c>
      <c r="B365" s="14" t="s">
        <v>248</v>
      </c>
      <c r="C365" s="29">
        <f>4635.75*1.05</f>
        <v>4867.5375000000004</v>
      </c>
      <c r="D365" s="31"/>
      <c r="E365" s="40">
        <v>90</v>
      </c>
      <c r="F365" s="40"/>
      <c r="G365" s="79"/>
      <c r="H365" s="40">
        <f t="shared" si="58"/>
        <v>4957.5375000000004</v>
      </c>
    </row>
    <row r="366" spans="1:8" ht="50.1" customHeight="1">
      <c r="A366" s="34" t="s">
        <v>255</v>
      </c>
      <c r="B366" s="14" t="s">
        <v>248</v>
      </c>
      <c r="C366" s="29">
        <f>3351*1.05*1.05</f>
        <v>3694.4775000000004</v>
      </c>
      <c r="D366" s="31"/>
      <c r="E366" s="40">
        <v>165</v>
      </c>
      <c r="F366" s="40"/>
      <c r="G366" s="79"/>
      <c r="H366" s="40">
        <f t="shared" si="58"/>
        <v>3859.4775000000004</v>
      </c>
    </row>
    <row r="367" spans="1:8" ht="54.95" customHeight="1">
      <c r="A367" s="34" t="s">
        <v>256</v>
      </c>
      <c r="B367" s="33" t="s">
        <v>257</v>
      </c>
      <c r="C367" s="29">
        <f>4707*1.05*1.05</f>
        <v>5189.4675000000007</v>
      </c>
      <c r="D367" s="31"/>
      <c r="E367" s="40">
        <v>90</v>
      </c>
      <c r="F367" s="40"/>
      <c r="G367" s="79"/>
      <c r="H367" s="40">
        <f t="shared" si="58"/>
        <v>5279.4675000000007</v>
      </c>
    </row>
    <row r="368" spans="1:8" ht="50.1" customHeight="1">
      <c r="A368" s="34" t="s">
        <v>258</v>
      </c>
      <c r="B368" s="33" t="s">
        <v>259</v>
      </c>
      <c r="C368" s="208">
        <f>2000*1.05*1.05</f>
        <v>2205</v>
      </c>
      <c r="D368" s="214"/>
      <c r="E368" s="40">
        <v>165</v>
      </c>
      <c r="F368" s="40"/>
      <c r="G368" s="79"/>
      <c r="H368" s="40">
        <f t="shared" si="58"/>
        <v>2370</v>
      </c>
    </row>
    <row r="369" spans="1:8" ht="50.1" customHeight="1">
      <c r="A369" s="32" t="s">
        <v>260</v>
      </c>
      <c r="B369" s="16" t="s">
        <v>248</v>
      </c>
      <c r="C369" s="29">
        <f>4200*1.05</f>
        <v>4410</v>
      </c>
      <c r="D369" s="31"/>
      <c r="E369" s="40">
        <v>111</v>
      </c>
      <c r="F369" s="40"/>
      <c r="G369" s="79"/>
      <c r="H369" s="40">
        <f t="shared" si="58"/>
        <v>4521</v>
      </c>
    </row>
    <row r="370" spans="1:8" ht="50.1" customHeight="1">
      <c r="A370" s="34" t="s">
        <v>261</v>
      </c>
      <c r="B370" s="14" t="s">
        <v>120</v>
      </c>
      <c r="C370" s="29">
        <f>4942*1.05</f>
        <v>5189.1000000000004</v>
      </c>
      <c r="D370" s="31"/>
      <c r="E370" s="40">
        <f>E365</f>
        <v>90</v>
      </c>
      <c r="F370" s="40"/>
      <c r="G370" s="79"/>
      <c r="H370" s="40">
        <f t="shared" si="58"/>
        <v>5279.1</v>
      </c>
    </row>
    <row r="371" spans="1:8" ht="50.1" customHeight="1">
      <c r="A371" s="32" t="s">
        <v>262</v>
      </c>
      <c r="B371" s="16" t="s">
        <v>263</v>
      </c>
      <c r="C371" s="29">
        <f>6019*1.05*1.05</f>
        <v>6635.9475000000002</v>
      </c>
      <c r="D371" s="31">
        <f>183*1.05*1.05</f>
        <v>201.75750000000002</v>
      </c>
      <c r="E371" s="40"/>
      <c r="F371" s="40"/>
      <c r="G371" s="79"/>
      <c r="H371" s="40">
        <f t="shared" si="58"/>
        <v>6434.1900000000005</v>
      </c>
    </row>
    <row r="372" spans="1:8" ht="50.1" customHeight="1">
      <c r="A372" s="32" t="s">
        <v>264</v>
      </c>
      <c r="B372" s="16" t="s">
        <v>217</v>
      </c>
      <c r="C372" s="29">
        <f>4415*1.05*1.05</f>
        <v>4867.5375000000004</v>
      </c>
      <c r="D372" s="31"/>
      <c r="E372" s="40">
        <v>90</v>
      </c>
      <c r="F372" s="40"/>
      <c r="G372" s="79"/>
      <c r="H372" s="40">
        <f t="shared" si="58"/>
        <v>4957.5375000000004</v>
      </c>
    </row>
    <row r="373" spans="1:8" ht="50.1" customHeight="1">
      <c r="A373" s="34" t="s">
        <v>265</v>
      </c>
      <c r="B373" s="161" t="s">
        <v>127</v>
      </c>
      <c r="C373" s="29">
        <f>4415*1.05*1.05</f>
        <v>4867.5375000000004</v>
      </c>
      <c r="D373" s="31"/>
      <c r="E373" s="40">
        <v>90</v>
      </c>
      <c r="F373" s="40"/>
      <c r="G373" s="79"/>
      <c r="H373" s="40">
        <f t="shared" si="58"/>
        <v>4957.5375000000004</v>
      </c>
    </row>
    <row r="374" spans="1:8" ht="50.1" customHeight="1">
      <c r="A374" s="34" t="s">
        <v>266</v>
      </c>
      <c r="B374" s="161" t="s">
        <v>267</v>
      </c>
      <c r="C374" s="29">
        <f>3610.95*1.05</f>
        <v>3791.4974999999999</v>
      </c>
      <c r="D374" s="31"/>
      <c r="E374" s="40">
        <v>95</v>
      </c>
      <c r="F374" s="40"/>
      <c r="G374" s="79"/>
      <c r="H374" s="40">
        <f t="shared" si="58"/>
        <v>3886.4974999999999</v>
      </c>
    </row>
    <row r="375" spans="1:8" ht="50.1" customHeight="1">
      <c r="A375" s="34" t="s">
        <v>268</v>
      </c>
      <c r="B375" s="161" t="s">
        <v>267</v>
      </c>
      <c r="C375" s="29">
        <f>4415*1.05*1.05</f>
        <v>4867.5375000000004</v>
      </c>
      <c r="D375" s="31"/>
      <c r="E375" s="40">
        <v>90</v>
      </c>
      <c r="F375" s="40"/>
      <c r="G375" s="79"/>
      <c r="H375" s="40">
        <f t="shared" si="58"/>
        <v>4957.5375000000004</v>
      </c>
    </row>
    <row r="376" spans="1:8" ht="50.1" customHeight="1">
      <c r="A376" s="34" t="s">
        <v>269</v>
      </c>
      <c r="B376" s="33" t="s">
        <v>267</v>
      </c>
      <c r="C376" s="29">
        <f>3520*1.05*1.05</f>
        <v>3880.8</v>
      </c>
      <c r="D376" s="31"/>
      <c r="E376" s="40">
        <v>90</v>
      </c>
      <c r="F376" s="40"/>
      <c r="G376" s="79"/>
      <c r="H376" s="40">
        <f t="shared" si="58"/>
        <v>3970.8</v>
      </c>
    </row>
    <row r="377" spans="1:8" ht="25.5" customHeight="1">
      <c r="A377" s="191"/>
      <c r="B377" s="63" t="s">
        <v>51</v>
      </c>
      <c r="C377" s="41">
        <f>SUM(C360:C376)</f>
        <v>79355.692500000005</v>
      </c>
      <c r="D377" s="72">
        <f t="shared" ref="D377:H377" si="59">SUM(D360:D376)</f>
        <v>201.75750000000002</v>
      </c>
      <c r="E377" s="41">
        <f t="shared" si="59"/>
        <v>1616</v>
      </c>
      <c r="F377" s="41">
        <f t="shared" si="59"/>
        <v>0</v>
      </c>
      <c r="G377" s="73">
        <f t="shared" si="59"/>
        <v>0</v>
      </c>
      <c r="H377" s="41">
        <f t="shared" si="59"/>
        <v>80769.935000000012</v>
      </c>
    </row>
    <row r="378" spans="1:8" ht="15" customHeight="1">
      <c r="A378" s="287"/>
      <c r="B378" s="287"/>
      <c r="C378" s="287"/>
      <c r="D378" s="287"/>
      <c r="E378" s="287"/>
      <c r="F378" s="287"/>
      <c r="G378" s="288"/>
      <c r="H378" s="287"/>
    </row>
    <row r="379" spans="1:8" ht="24.75" customHeight="1">
      <c r="A379" s="50" t="s">
        <v>3</v>
      </c>
      <c r="B379" s="50" t="s">
        <v>4</v>
      </c>
      <c r="C379" s="50" t="s">
        <v>5</v>
      </c>
      <c r="D379" s="9" t="s">
        <v>6</v>
      </c>
      <c r="E379" s="50" t="s">
        <v>7</v>
      </c>
      <c r="F379" s="75" t="s">
        <v>8</v>
      </c>
      <c r="G379" s="28" t="str">
        <f>G359</f>
        <v>COMPENSACIONES</v>
      </c>
      <c r="H379" s="50" t="s">
        <v>10</v>
      </c>
    </row>
    <row r="380" spans="1:8" ht="42.75" customHeight="1">
      <c r="A380" s="34" t="s">
        <v>270</v>
      </c>
      <c r="B380" s="33" t="s">
        <v>271</v>
      </c>
      <c r="C380" s="29">
        <f>6272*1.04*1.05</f>
        <v>6849.0240000000003</v>
      </c>
      <c r="D380" s="31">
        <f>183*1.04*1.05</f>
        <v>199.83600000000001</v>
      </c>
      <c r="E380" s="40"/>
      <c r="F380" s="40"/>
      <c r="G380" s="79"/>
      <c r="H380" s="40">
        <f>C380-D380+E380+G380</f>
        <v>6649.1880000000001</v>
      </c>
    </row>
    <row r="381" spans="1:8" ht="77.099999999999994" customHeight="1">
      <c r="A381" s="32" t="s">
        <v>272</v>
      </c>
      <c r="B381" s="16" t="s">
        <v>273</v>
      </c>
      <c r="C381" s="29">
        <f>4415*1.05*1.05</f>
        <v>4867.5375000000004</v>
      </c>
      <c r="D381" s="31"/>
      <c r="E381" s="40">
        <v>90</v>
      </c>
      <c r="F381" s="40"/>
      <c r="G381" s="79"/>
      <c r="H381" s="40">
        <f t="shared" ref="H381:H387" si="60">C381-D381+E381+G381</f>
        <v>4957.5375000000004</v>
      </c>
    </row>
    <row r="382" spans="1:8" ht="45.75" customHeight="1">
      <c r="A382" s="34" t="s">
        <v>274</v>
      </c>
      <c r="B382" s="16" t="s">
        <v>273</v>
      </c>
      <c r="C382" s="29">
        <f>4415*1.05*1.05</f>
        <v>4867.5375000000004</v>
      </c>
      <c r="D382" s="215"/>
      <c r="E382" s="216">
        <v>90</v>
      </c>
      <c r="F382" s="216"/>
      <c r="G382" s="79"/>
      <c r="H382" s="40">
        <f t="shared" si="60"/>
        <v>4957.5375000000004</v>
      </c>
    </row>
    <row r="383" spans="1:8" s="1" customFormat="1" ht="45" customHeight="1">
      <c r="A383" s="32" t="s">
        <v>275</v>
      </c>
      <c r="B383" s="16" t="s">
        <v>276</v>
      </c>
      <c r="C383" s="29">
        <f>4415*1.05*1.05+400</f>
        <v>5267.5375000000004</v>
      </c>
      <c r="D383" s="31"/>
      <c r="E383" s="40">
        <v>90</v>
      </c>
      <c r="F383" s="40"/>
      <c r="G383" s="79"/>
      <c r="H383" s="40">
        <f t="shared" si="60"/>
        <v>5357.5375000000004</v>
      </c>
    </row>
    <row r="384" spans="1:8" s="1" customFormat="1" ht="45" customHeight="1">
      <c r="A384" s="32" t="s">
        <v>277</v>
      </c>
      <c r="B384" s="16" t="s">
        <v>278</v>
      </c>
      <c r="C384" s="29">
        <f>4415*1.05*1.05</f>
        <v>4867.5375000000004</v>
      </c>
      <c r="D384" s="31"/>
      <c r="E384" s="40">
        <v>90</v>
      </c>
      <c r="F384" s="40"/>
      <c r="G384" s="79"/>
      <c r="H384" s="40">
        <f t="shared" si="60"/>
        <v>4957.5375000000004</v>
      </c>
    </row>
    <row r="385" spans="1:8" s="1" customFormat="1" ht="62.1" customHeight="1">
      <c r="A385" s="32" t="s">
        <v>279</v>
      </c>
      <c r="B385" s="217" t="s">
        <v>219</v>
      </c>
      <c r="C385" s="29">
        <f>4817*1.04*1.05</f>
        <v>5260.1640000000007</v>
      </c>
      <c r="D385" s="155">
        <f>99*1.04*1.05</f>
        <v>108.10800000000002</v>
      </c>
      <c r="E385" s="40"/>
      <c r="F385" s="40"/>
      <c r="G385" s="79"/>
      <c r="H385" s="40">
        <f t="shared" si="60"/>
        <v>5152.0560000000005</v>
      </c>
    </row>
    <row r="386" spans="1:8" s="1" customFormat="1" ht="51.75" customHeight="1">
      <c r="A386" s="34" t="s">
        <v>280</v>
      </c>
      <c r="B386" s="218" t="s">
        <v>219</v>
      </c>
      <c r="C386" s="29">
        <f>3286*1.05*1.05+250</f>
        <v>3872.8150000000005</v>
      </c>
      <c r="D386" s="31"/>
      <c r="E386" s="40">
        <v>120</v>
      </c>
      <c r="F386" s="40"/>
      <c r="G386" s="79"/>
      <c r="H386" s="40">
        <f t="shared" si="60"/>
        <v>3992.8150000000005</v>
      </c>
    </row>
    <row r="387" spans="1:8" s="1" customFormat="1" ht="54" customHeight="1">
      <c r="A387" s="32" t="s">
        <v>281</v>
      </c>
      <c r="B387" s="35" t="s">
        <v>282</v>
      </c>
      <c r="C387" s="29">
        <f>6232.3*1.05+595</f>
        <v>7138.9150000000009</v>
      </c>
      <c r="D387" s="31">
        <f>126*1.05*1.05</f>
        <v>138.91500000000002</v>
      </c>
      <c r="E387" s="40"/>
      <c r="F387" s="40"/>
      <c r="G387" s="79"/>
      <c r="H387" s="40">
        <f t="shared" si="60"/>
        <v>7000.0000000000009</v>
      </c>
    </row>
    <row r="388" spans="1:8" s="1" customFormat="1" ht="25.5" customHeight="1">
      <c r="A388" s="55"/>
      <c r="B388" s="63" t="s">
        <v>51</v>
      </c>
      <c r="C388" s="41">
        <f t="shared" ref="C388:H388" si="61">SUM(C380:C387)</f>
        <v>42991.067999999999</v>
      </c>
      <c r="D388" s="72">
        <f t="shared" si="61"/>
        <v>446.85900000000004</v>
      </c>
      <c r="E388" s="41">
        <f t="shared" si="61"/>
        <v>480</v>
      </c>
      <c r="F388" s="41">
        <f t="shared" si="61"/>
        <v>0</v>
      </c>
      <c r="G388" s="73">
        <f t="shared" si="61"/>
        <v>0</v>
      </c>
      <c r="H388" s="41">
        <f t="shared" si="61"/>
        <v>43024.208999999995</v>
      </c>
    </row>
    <row r="389" spans="1:8" s="1" customFormat="1" ht="15" customHeight="1">
      <c r="A389" s="287"/>
      <c r="B389" s="287"/>
      <c r="C389" s="287"/>
      <c r="D389" s="287"/>
      <c r="E389" s="287"/>
      <c r="F389" s="287"/>
      <c r="G389" s="288"/>
      <c r="H389" s="287"/>
    </row>
    <row r="390" spans="1:8" s="1" customFormat="1" ht="24.75" customHeight="1">
      <c r="A390" s="50" t="s">
        <v>3</v>
      </c>
      <c r="B390" s="50" t="s">
        <v>4</v>
      </c>
      <c r="C390" s="50" t="s">
        <v>5</v>
      </c>
      <c r="D390" s="9" t="s">
        <v>6</v>
      </c>
      <c r="E390" s="50" t="s">
        <v>7</v>
      </c>
      <c r="F390" s="75" t="s">
        <v>8</v>
      </c>
      <c r="G390" s="28" t="str">
        <f>G379</f>
        <v>COMPENSACIONES</v>
      </c>
      <c r="H390" s="50" t="s">
        <v>10</v>
      </c>
    </row>
    <row r="391" spans="1:8" s="1" customFormat="1" ht="51" customHeight="1">
      <c r="A391" s="34" t="s">
        <v>283</v>
      </c>
      <c r="B391" s="33" t="s">
        <v>284</v>
      </c>
      <c r="C391" s="29">
        <f>3511*1.05*1.05</f>
        <v>3870.8775000000005</v>
      </c>
      <c r="D391" s="69"/>
      <c r="E391" s="40">
        <v>130</v>
      </c>
      <c r="F391" s="40"/>
      <c r="G391" s="79"/>
      <c r="H391" s="40">
        <f>C391-D391+E391+G391</f>
        <v>4000.8775000000005</v>
      </c>
    </row>
    <row r="392" spans="1:8" s="1" customFormat="1" ht="24.75" customHeight="1">
      <c r="A392" s="55"/>
      <c r="B392" s="63" t="s">
        <v>51</v>
      </c>
      <c r="C392" s="194">
        <f>SUM(C391)</f>
        <v>3870.8775000000005</v>
      </c>
      <c r="D392" s="199">
        <f t="shared" ref="D392:H392" si="62">SUM(D391)</f>
        <v>0</v>
      </c>
      <c r="E392" s="194">
        <f t="shared" si="62"/>
        <v>130</v>
      </c>
      <c r="F392" s="194">
        <f t="shared" si="62"/>
        <v>0</v>
      </c>
      <c r="G392" s="200">
        <f t="shared" si="62"/>
        <v>0</v>
      </c>
      <c r="H392" s="194">
        <f t="shared" si="62"/>
        <v>4000.8775000000005</v>
      </c>
    </row>
    <row r="393" spans="1:8" s="1" customFormat="1" ht="39" customHeight="1">
      <c r="A393" s="55"/>
      <c r="B393" s="63" t="s">
        <v>285</v>
      </c>
      <c r="C393" s="219">
        <f t="shared" ref="C393:H393" si="63">SUM(C334+C339+C351+C357+C377+C388+C392)</f>
        <v>274047.29100000003</v>
      </c>
      <c r="D393" s="224">
        <f t="shared" si="63"/>
        <v>3613.0394999999999</v>
      </c>
      <c r="E393" s="219">
        <f t="shared" si="63"/>
        <v>3755</v>
      </c>
      <c r="F393" s="219">
        <f t="shared" si="63"/>
        <v>126</v>
      </c>
      <c r="G393" s="225">
        <f t="shared" si="63"/>
        <v>0</v>
      </c>
      <c r="H393" s="219">
        <f t="shared" si="63"/>
        <v>274315.25150000001</v>
      </c>
    </row>
    <row r="394" spans="1:8" s="1" customFormat="1" ht="15" customHeight="1">
      <c r="A394" s="283"/>
      <c r="B394" s="283"/>
      <c r="C394" s="283"/>
      <c r="D394" s="283"/>
      <c r="E394" s="283"/>
      <c r="F394" s="283"/>
      <c r="G394" s="284"/>
      <c r="H394" s="283"/>
    </row>
    <row r="395" spans="1:8" s="1" customFormat="1" ht="15" customHeight="1">
      <c r="A395" s="283"/>
      <c r="B395" s="283"/>
      <c r="C395" s="283"/>
      <c r="D395" s="283"/>
      <c r="E395" s="283"/>
      <c r="F395" s="283"/>
      <c r="G395" s="284"/>
      <c r="H395" s="283"/>
    </row>
    <row r="396" spans="1:8" s="1" customFormat="1" ht="15" customHeight="1">
      <c r="A396" s="60"/>
      <c r="B396" s="60" t="str">
        <f>A3</f>
        <v>Nómina que corresponde a la 1ra.   (PRIMER     ) quincena del mes de JUNIO de 2023.</v>
      </c>
      <c r="C396" s="60"/>
      <c r="D396" s="91"/>
      <c r="E396" s="60"/>
      <c r="F396" s="60"/>
      <c r="G396" s="90"/>
      <c r="H396" s="60"/>
    </row>
    <row r="397" spans="1:8" s="1" customFormat="1" ht="15" customHeight="1">
      <c r="A397" s="50"/>
      <c r="B397" s="50" t="s">
        <v>286</v>
      </c>
      <c r="C397" s="50"/>
      <c r="D397" s="9"/>
      <c r="E397" s="50"/>
      <c r="F397" s="50"/>
      <c r="G397" s="92"/>
      <c r="H397" s="50"/>
    </row>
    <row r="398" spans="1:8" s="1" customFormat="1" ht="24.75" customHeight="1">
      <c r="A398" s="50" t="s">
        <v>3</v>
      </c>
      <c r="B398" s="50" t="s">
        <v>4</v>
      </c>
      <c r="C398" s="50" t="s">
        <v>5</v>
      </c>
      <c r="D398" s="9" t="s">
        <v>6</v>
      </c>
      <c r="E398" s="50" t="s">
        <v>7</v>
      </c>
      <c r="F398" s="75" t="s">
        <v>8</v>
      </c>
      <c r="G398" s="28" t="str">
        <f>G390</f>
        <v>COMPENSACIONES</v>
      </c>
      <c r="H398" s="50" t="s">
        <v>10</v>
      </c>
    </row>
    <row r="399" spans="1:8" s="1" customFormat="1" ht="51" customHeight="1">
      <c r="A399" s="15" t="s">
        <v>287</v>
      </c>
      <c r="B399" s="14" t="s">
        <v>288</v>
      </c>
      <c r="C399" s="29">
        <f>5087*1.04*1.05</f>
        <v>5555.0040000000008</v>
      </c>
      <c r="D399" s="31">
        <f>154*1.04*1.05</f>
        <v>168.16800000000001</v>
      </c>
      <c r="E399" s="40"/>
      <c r="F399" s="40"/>
      <c r="G399" s="79"/>
      <c r="H399" s="40">
        <f>C399-D399+E399+G399</f>
        <v>5386.8360000000011</v>
      </c>
    </row>
    <row r="400" spans="1:8" s="1" customFormat="1" ht="51" customHeight="1">
      <c r="A400" s="15" t="s">
        <v>289</v>
      </c>
      <c r="B400" s="14" t="s">
        <v>288</v>
      </c>
      <c r="C400" s="29">
        <f>6339.84*1.05</f>
        <v>6656.8320000000003</v>
      </c>
      <c r="D400" s="31">
        <f>190.32*1.05</f>
        <v>199.83600000000001</v>
      </c>
      <c r="E400" s="40"/>
      <c r="F400" s="40"/>
      <c r="G400" s="79"/>
      <c r="H400" s="40">
        <f t="shared" ref="H400:H407" si="64">C400-D400+E400+G400</f>
        <v>6456.9960000000001</v>
      </c>
    </row>
    <row r="401" spans="1:8" s="1" customFormat="1" ht="51" customHeight="1">
      <c r="A401" s="15" t="s">
        <v>290</v>
      </c>
      <c r="B401" s="14" t="s">
        <v>288</v>
      </c>
      <c r="C401" s="29">
        <f>5087*1.04*1.05</f>
        <v>5555.0040000000008</v>
      </c>
      <c r="D401" s="31">
        <f>154*1.04*1.05</f>
        <v>168.16800000000001</v>
      </c>
      <c r="E401" s="40"/>
      <c r="F401" s="40"/>
      <c r="G401" s="79"/>
      <c r="H401" s="40">
        <f t="shared" si="64"/>
        <v>5386.8360000000011</v>
      </c>
    </row>
    <row r="402" spans="1:8" s="1" customFormat="1" ht="51" customHeight="1">
      <c r="A402" s="34" t="s">
        <v>291</v>
      </c>
      <c r="B402" s="17" t="s">
        <v>288</v>
      </c>
      <c r="C402" s="29">
        <f>'[7]MADRE BANCO'!$G$313</f>
        <v>2363.386</v>
      </c>
      <c r="D402" s="31"/>
      <c r="E402" s="40">
        <v>95</v>
      </c>
      <c r="F402" s="40"/>
      <c r="G402" s="79"/>
      <c r="H402" s="40">
        <f t="shared" si="64"/>
        <v>2458.386</v>
      </c>
    </row>
    <row r="403" spans="1:8" s="1" customFormat="1" ht="51" customHeight="1">
      <c r="A403" s="32" t="s">
        <v>292</v>
      </c>
      <c r="B403" s="17" t="s">
        <v>293</v>
      </c>
      <c r="C403" s="29">
        <f>4058*1.04*1.05</f>
        <v>4431.3360000000002</v>
      </c>
      <c r="D403" s="31"/>
      <c r="E403" s="40">
        <v>95</v>
      </c>
      <c r="F403" s="40"/>
      <c r="G403" s="79"/>
      <c r="H403" s="40">
        <f t="shared" si="64"/>
        <v>4526.3360000000002</v>
      </c>
    </row>
    <row r="404" spans="1:8" s="1" customFormat="1" ht="51" customHeight="1">
      <c r="A404" s="32" t="s">
        <v>294</v>
      </c>
      <c r="B404" s="16" t="s">
        <v>295</v>
      </c>
      <c r="C404" s="29">
        <f>4058*1.04*1.05</f>
        <v>4431.3360000000002</v>
      </c>
      <c r="D404" s="31"/>
      <c r="E404" s="40">
        <v>95</v>
      </c>
      <c r="F404" s="40"/>
      <c r="G404" s="79"/>
      <c r="H404" s="40">
        <f t="shared" si="64"/>
        <v>4526.3360000000002</v>
      </c>
    </row>
    <row r="405" spans="1:8" ht="51" customHeight="1">
      <c r="A405" s="32" t="s">
        <v>296</v>
      </c>
      <c r="B405" s="16" t="s">
        <v>295</v>
      </c>
      <c r="C405" s="29">
        <f>5545*1.05*1.05</f>
        <v>6113.3625000000002</v>
      </c>
      <c r="D405" s="31">
        <f>99*1.05*1.05</f>
        <v>109.14750000000001</v>
      </c>
      <c r="E405" s="40"/>
      <c r="F405" s="40">
        <v>126</v>
      </c>
      <c r="G405" s="79"/>
      <c r="H405" s="40">
        <f>C405-D405+E405+F405+G405</f>
        <v>6130.2150000000001</v>
      </c>
    </row>
    <row r="406" spans="1:8" ht="54" customHeight="1">
      <c r="A406" s="221" t="s">
        <v>297</v>
      </c>
      <c r="B406" s="16" t="s">
        <v>295</v>
      </c>
      <c r="C406" s="29">
        <f>6498*1.05*1.05</f>
        <v>7164.045000000001</v>
      </c>
      <c r="D406" s="31">
        <f>220*1.05*1.05</f>
        <v>242.55</v>
      </c>
      <c r="E406" s="29"/>
      <c r="F406" s="226">
        <v>175</v>
      </c>
      <c r="G406" s="79"/>
      <c r="H406" s="40">
        <f>C406-D406+E406+F406+G406</f>
        <v>7096.4950000000008</v>
      </c>
    </row>
    <row r="407" spans="1:8" s="1" customFormat="1" ht="62.1" customHeight="1">
      <c r="A407" s="32" t="s">
        <v>298</v>
      </c>
      <c r="B407" s="16" t="s">
        <v>295</v>
      </c>
      <c r="C407" s="29">
        <f>4058*1.04*1.05</f>
        <v>4431.3360000000002</v>
      </c>
      <c r="D407" s="31"/>
      <c r="E407" s="40">
        <v>95</v>
      </c>
      <c r="F407" s="40"/>
      <c r="G407" s="79"/>
      <c r="H407" s="40">
        <f t="shared" si="64"/>
        <v>4526.3360000000002</v>
      </c>
    </row>
    <row r="408" spans="1:8" s="1" customFormat="1" ht="25.5" customHeight="1">
      <c r="A408" s="222"/>
      <c r="B408" s="20" t="s">
        <v>23</v>
      </c>
      <c r="C408" s="41">
        <f t="shared" ref="C408:H408" si="65">SUM(C399:C407)</f>
        <v>46701.641500000005</v>
      </c>
      <c r="D408" s="72">
        <f t="shared" si="65"/>
        <v>887.86950000000002</v>
      </c>
      <c r="E408" s="41">
        <f t="shared" si="65"/>
        <v>380</v>
      </c>
      <c r="F408" s="41">
        <f t="shared" si="65"/>
        <v>301</v>
      </c>
      <c r="G408" s="73">
        <f t="shared" si="65"/>
        <v>0</v>
      </c>
      <c r="H408" s="41">
        <f t="shared" si="65"/>
        <v>46494.772000000012</v>
      </c>
    </row>
    <row r="409" spans="1:8" s="5" customFormat="1" ht="15" customHeight="1">
      <c r="A409" s="283"/>
      <c r="B409" s="283"/>
      <c r="C409" s="283"/>
      <c r="D409" s="283"/>
      <c r="E409" s="283"/>
      <c r="F409" s="283"/>
      <c r="G409" s="284"/>
      <c r="H409" s="283"/>
    </row>
    <row r="410" spans="1:8" ht="15" customHeight="1">
      <c r="A410" s="283"/>
      <c r="B410" s="283"/>
      <c r="C410" s="283"/>
      <c r="D410" s="283"/>
      <c r="E410" s="283"/>
      <c r="F410" s="283"/>
      <c r="G410" s="284"/>
      <c r="H410" s="283"/>
    </row>
    <row r="411" spans="1:8" ht="15" customHeight="1">
      <c r="A411" s="285"/>
      <c r="B411" s="285"/>
      <c r="C411" s="285"/>
      <c r="D411" s="285"/>
      <c r="E411" s="285"/>
      <c r="F411" s="285"/>
      <c r="G411" s="286"/>
      <c r="H411" s="285"/>
    </row>
    <row r="412" spans="1:8" ht="15" customHeight="1">
      <c r="A412" s="276"/>
      <c r="B412" s="276"/>
      <c r="C412" s="276"/>
      <c r="D412" s="277"/>
      <c r="E412" s="276"/>
      <c r="F412" s="276"/>
      <c r="G412" s="278"/>
      <c r="H412" s="276"/>
    </row>
    <row r="413" spans="1:8" ht="24.75" customHeight="1">
      <c r="A413" s="50" t="s">
        <v>3</v>
      </c>
      <c r="B413" s="50" t="s">
        <v>4</v>
      </c>
      <c r="C413" s="50" t="s">
        <v>5</v>
      </c>
      <c r="D413" s="9" t="s">
        <v>6</v>
      </c>
      <c r="E413" s="50" t="s">
        <v>7</v>
      </c>
      <c r="F413" s="75" t="s">
        <v>8</v>
      </c>
      <c r="G413" s="28" t="str">
        <f>G398</f>
        <v>COMPENSACIONES</v>
      </c>
      <c r="H413" s="50" t="s">
        <v>10</v>
      </c>
    </row>
    <row r="414" spans="1:8" ht="54.95" customHeight="1">
      <c r="A414" s="51" t="s">
        <v>299</v>
      </c>
      <c r="B414" s="57" t="s">
        <v>300</v>
      </c>
      <c r="C414" s="46">
        <f>6691*1.04*1.05</f>
        <v>7306.572000000001</v>
      </c>
      <c r="D414" s="77">
        <f>220*1.04*1.05</f>
        <v>240.24</v>
      </c>
      <c r="E414" s="46"/>
      <c r="F414" s="46"/>
      <c r="G414" s="78"/>
      <c r="H414" s="46">
        <f>C414-D414+E414+G414</f>
        <v>7066.3320000000012</v>
      </c>
    </row>
    <row r="415" spans="1:8" ht="45" customHeight="1">
      <c r="A415" s="34" t="s">
        <v>301</v>
      </c>
      <c r="B415" s="33" t="s">
        <v>302</v>
      </c>
      <c r="C415" s="29">
        <f>3913*1.05*1.05</f>
        <v>4314.0825000000004</v>
      </c>
      <c r="D415" s="31"/>
      <c r="E415" s="40">
        <v>120</v>
      </c>
      <c r="F415" s="40"/>
      <c r="G415" s="198"/>
      <c r="H415" s="64">
        <f t="shared" ref="H415:H416" si="66">C415-D415+E415+G415</f>
        <v>4434.0825000000004</v>
      </c>
    </row>
    <row r="416" spans="1:8" ht="60" customHeight="1">
      <c r="A416" s="36" t="s">
        <v>303</v>
      </c>
      <c r="B416" s="33" t="s">
        <v>304</v>
      </c>
      <c r="C416" s="113">
        <f>3241*1.05*1.05</f>
        <v>3573.2025000000003</v>
      </c>
      <c r="D416" s="127"/>
      <c r="E416" s="47">
        <v>95</v>
      </c>
      <c r="F416" s="47"/>
      <c r="G416" s="227"/>
      <c r="H416" s="47">
        <f t="shared" si="66"/>
        <v>3668.2025000000003</v>
      </c>
    </row>
    <row r="417" spans="1:8" ht="25.5" customHeight="1">
      <c r="A417" s="146"/>
      <c r="B417" s="20" t="s">
        <v>23</v>
      </c>
      <c r="C417" s="49">
        <f t="shared" ref="C417:H417" si="67">SUM(C414:C416)</f>
        <v>15193.857</v>
      </c>
      <c r="D417" s="82">
        <f t="shared" si="67"/>
        <v>240.24</v>
      </c>
      <c r="E417" s="49">
        <f t="shared" si="67"/>
        <v>215</v>
      </c>
      <c r="F417" s="49">
        <f t="shared" si="67"/>
        <v>0</v>
      </c>
      <c r="G417" s="83">
        <f t="shared" si="67"/>
        <v>0</v>
      </c>
      <c r="H417" s="49">
        <f t="shared" si="67"/>
        <v>15168.617000000002</v>
      </c>
    </row>
    <row r="418" spans="1:8" ht="15" customHeight="1">
      <c r="A418" s="283"/>
      <c r="B418" s="283"/>
      <c r="C418" s="283"/>
      <c r="D418" s="283"/>
      <c r="E418" s="283"/>
      <c r="F418" s="283"/>
      <c r="G418" s="284"/>
      <c r="H418" s="283"/>
    </row>
    <row r="419" spans="1:8" ht="15" customHeight="1">
      <c r="A419" s="283"/>
      <c r="B419" s="283"/>
      <c r="C419" s="283"/>
      <c r="D419" s="283"/>
      <c r="E419" s="283"/>
      <c r="F419" s="283"/>
      <c r="G419" s="284"/>
      <c r="H419" s="283"/>
    </row>
    <row r="420" spans="1:8" ht="15" customHeight="1">
      <c r="A420" s="285"/>
      <c r="B420" s="285"/>
      <c r="C420" s="285"/>
      <c r="D420" s="285"/>
      <c r="E420" s="285"/>
      <c r="F420" s="285"/>
      <c r="G420" s="286"/>
      <c r="H420" s="285"/>
    </row>
    <row r="421" spans="1:8" ht="15" customHeight="1">
      <c r="A421" s="276"/>
      <c r="B421" s="276"/>
      <c r="C421" s="276"/>
      <c r="D421" s="277"/>
      <c r="E421" s="276"/>
      <c r="F421" s="276"/>
      <c r="G421" s="278"/>
      <c r="H421" s="276"/>
    </row>
    <row r="422" spans="1:8" ht="24.75" customHeight="1">
      <c r="A422" s="50" t="s">
        <v>3</v>
      </c>
      <c r="B422" s="50" t="s">
        <v>4</v>
      </c>
      <c r="C422" s="50" t="s">
        <v>5</v>
      </c>
      <c r="D422" s="9" t="s">
        <v>6</v>
      </c>
      <c r="E422" s="50" t="s">
        <v>7</v>
      </c>
      <c r="F422" s="75" t="s">
        <v>8</v>
      </c>
      <c r="G422" s="28" t="str">
        <f>G413</f>
        <v>COMPENSACIONES</v>
      </c>
      <c r="H422" s="50" t="s">
        <v>10</v>
      </c>
    </row>
    <row r="423" spans="1:8" ht="44.25" customHeight="1">
      <c r="A423" s="51" t="s">
        <v>305</v>
      </c>
      <c r="B423" s="57" t="s">
        <v>306</v>
      </c>
      <c r="C423" s="46">
        <f>6691*1.04*1.05</f>
        <v>7306.572000000001</v>
      </c>
      <c r="D423" s="77">
        <v>240.24</v>
      </c>
      <c r="E423" s="46"/>
      <c r="F423" s="46"/>
      <c r="G423" s="78"/>
      <c r="H423" s="46">
        <f>C423-D423+E423+G423</f>
        <v>7066.3320000000012</v>
      </c>
    </row>
    <row r="424" spans="1:8" ht="57" customHeight="1">
      <c r="A424" s="34" t="s">
        <v>307</v>
      </c>
      <c r="B424" s="33" t="s">
        <v>308</v>
      </c>
      <c r="C424" s="29">
        <f>4349*1.04*1.05</f>
        <v>4749.1080000000002</v>
      </c>
      <c r="D424" s="31"/>
      <c r="E424" s="64">
        <v>90</v>
      </c>
      <c r="F424" s="64"/>
      <c r="G424" s="198"/>
      <c r="H424" s="64">
        <f>C424-D424+E424+G424</f>
        <v>4839.1080000000002</v>
      </c>
    </row>
    <row r="425" spans="1:8" ht="51" customHeight="1">
      <c r="A425" s="143" t="s">
        <v>309</v>
      </c>
      <c r="B425" s="33" t="s">
        <v>310</v>
      </c>
      <c r="C425" s="29">
        <f>5446*1.04*1.05</f>
        <v>5947.0320000000002</v>
      </c>
      <c r="D425" s="31">
        <f>270*1.04*1.05</f>
        <v>294.84000000000003</v>
      </c>
      <c r="E425" s="64"/>
      <c r="F425" s="64"/>
      <c r="G425" s="198"/>
      <c r="H425" s="64">
        <f t="shared" ref="H425:H431" si="68">C425-D425+E425+G425</f>
        <v>5652.192</v>
      </c>
    </row>
    <row r="426" spans="1:8" ht="57.95" customHeight="1">
      <c r="A426" s="34" t="s">
        <v>311</v>
      </c>
      <c r="B426" s="33" t="s">
        <v>248</v>
      </c>
      <c r="C426" s="29">
        <v>4614</v>
      </c>
      <c r="D426" s="31"/>
      <c r="E426" s="40">
        <v>120</v>
      </c>
      <c r="F426" s="40"/>
      <c r="G426" s="198"/>
      <c r="H426" s="64">
        <f t="shared" si="68"/>
        <v>4734</v>
      </c>
    </row>
    <row r="427" spans="1:8" ht="51" customHeight="1">
      <c r="A427" s="34" t="s">
        <v>312</v>
      </c>
      <c r="B427" s="33" t="s">
        <v>302</v>
      </c>
      <c r="C427" s="29">
        <f>4432*1.05*1.05</f>
        <v>4886.2800000000007</v>
      </c>
      <c r="D427" s="31"/>
      <c r="E427" s="64">
        <v>90</v>
      </c>
      <c r="F427" s="64"/>
      <c r="G427" s="198"/>
      <c r="H427" s="64">
        <f t="shared" si="68"/>
        <v>4976.2800000000007</v>
      </c>
    </row>
    <row r="428" spans="1:8" ht="51" customHeight="1">
      <c r="A428" s="34" t="s">
        <v>313</v>
      </c>
      <c r="B428" s="33" t="s">
        <v>273</v>
      </c>
      <c r="C428" s="29">
        <f>4432*1.05*1.05</f>
        <v>4886.2800000000007</v>
      </c>
      <c r="D428" s="31"/>
      <c r="E428" s="64">
        <v>90</v>
      </c>
      <c r="F428" s="64"/>
      <c r="G428" s="198"/>
      <c r="H428" s="64">
        <f t="shared" si="68"/>
        <v>4976.2800000000007</v>
      </c>
    </row>
    <row r="429" spans="1:8" ht="51" customHeight="1">
      <c r="A429" s="34" t="s">
        <v>314</v>
      </c>
      <c r="B429" s="33" t="s">
        <v>315</v>
      </c>
      <c r="C429" s="29">
        <f>3819*1.05*1.05</f>
        <v>4210.4475000000002</v>
      </c>
      <c r="D429" s="31"/>
      <c r="E429" s="40">
        <v>129</v>
      </c>
      <c r="F429" s="40"/>
      <c r="G429" s="198"/>
      <c r="H429" s="64">
        <f t="shared" si="68"/>
        <v>4339.4475000000002</v>
      </c>
    </row>
    <row r="430" spans="1:8" ht="51" customHeight="1">
      <c r="A430" s="34" t="s">
        <v>316</v>
      </c>
      <c r="B430" s="33" t="s">
        <v>248</v>
      </c>
      <c r="C430" s="29">
        <v>4614</v>
      </c>
      <c r="D430" s="31"/>
      <c r="E430" s="64">
        <v>120</v>
      </c>
      <c r="F430" s="64"/>
      <c r="G430" s="198"/>
      <c r="H430" s="64">
        <f t="shared" si="68"/>
        <v>4734</v>
      </c>
    </row>
    <row r="431" spans="1:8" ht="51" customHeight="1">
      <c r="A431" s="32" t="s">
        <v>317</v>
      </c>
      <c r="B431" s="33" t="s">
        <v>267</v>
      </c>
      <c r="C431" s="113">
        <v>4614</v>
      </c>
      <c r="D431" s="127"/>
      <c r="E431" s="47">
        <v>120</v>
      </c>
      <c r="F431" s="47"/>
      <c r="G431" s="81"/>
      <c r="H431" s="47">
        <f t="shared" si="68"/>
        <v>4734</v>
      </c>
    </row>
    <row r="432" spans="1:8" ht="25.5" customHeight="1">
      <c r="A432" s="48"/>
      <c r="B432" s="223" t="s">
        <v>23</v>
      </c>
      <c r="C432" s="137">
        <f>SUM(C423:C431)</f>
        <v>45827.719499999999</v>
      </c>
      <c r="D432" s="82">
        <f t="shared" ref="D432:H432" si="69">SUM(D423:D431)</f>
        <v>535.08000000000004</v>
      </c>
      <c r="E432" s="49">
        <f t="shared" si="69"/>
        <v>759</v>
      </c>
      <c r="F432" s="49">
        <f t="shared" si="69"/>
        <v>0</v>
      </c>
      <c r="G432" s="83">
        <f t="shared" si="69"/>
        <v>0</v>
      </c>
      <c r="H432" s="137">
        <f t="shared" si="69"/>
        <v>46051.639500000005</v>
      </c>
    </row>
    <row r="433" spans="1:8" ht="15" customHeight="1">
      <c r="A433" s="283"/>
      <c r="B433" s="283"/>
      <c r="C433" s="283"/>
      <c r="D433" s="283"/>
      <c r="E433" s="283"/>
      <c r="F433" s="283"/>
      <c r="G433" s="284"/>
      <c r="H433" s="283"/>
    </row>
    <row r="434" spans="1:8" ht="15" customHeight="1">
      <c r="A434" s="283"/>
      <c r="B434" s="283"/>
      <c r="C434" s="283"/>
      <c r="D434" s="283"/>
      <c r="E434" s="283"/>
      <c r="F434" s="283"/>
      <c r="G434" s="284"/>
      <c r="H434" s="283"/>
    </row>
    <row r="435" spans="1:8" ht="15" customHeight="1">
      <c r="A435" s="285"/>
      <c r="B435" s="285"/>
      <c r="C435" s="285"/>
      <c r="D435" s="285"/>
      <c r="E435" s="285"/>
      <c r="F435" s="285"/>
      <c r="G435" s="286"/>
      <c r="H435" s="285"/>
    </row>
    <row r="436" spans="1:8" ht="15" customHeight="1">
      <c r="A436" s="276"/>
      <c r="B436" s="276"/>
      <c r="C436" s="276"/>
      <c r="D436" s="277"/>
      <c r="E436" s="276"/>
      <c r="F436" s="276"/>
      <c r="G436" s="278"/>
      <c r="H436" s="276"/>
    </row>
    <row r="437" spans="1:8" ht="30.75" customHeight="1">
      <c r="A437" s="50" t="s">
        <v>3</v>
      </c>
      <c r="B437" s="50" t="s">
        <v>4</v>
      </c>
      <c r="C437" s="50" t="s">
        <v>5</v>
      </c>
      <c r="D437" s="9" t="s">
        <v>6</v>
      </c>
      <c r="E437" s="50" t="s">
        <v>7</v>
      </c>
      <c r="F437" s="75" t="s">
        <v>8</v>
      </c>
      <c r="G437" s="28" t="str">
        <f>G422</f>
        <v>COMPENSACIONES</v>
      </c>
      <c r="H437" s="50" t="s">
        <v>10</v>
      </c>
    </row>
    <row r="438" spans="1:8" ht="50.1" customHeight="1">
      <c r="A438" s="45" t="s">
        <v>318</v>
      </c>
      <c r="B438" s="57" t="s">
        <v>319</v>
      </c>
      <c r="C438" s="46">
        <f>6691*1.04*1.05</f>
        <v>7306.572000000001</v>
      </c>
      <c r="D438" s="77">
        <f>220*1.04*1.05</f>
        <v>240.24</v>
      </c>
      <c r="E438" s="46"/>
      <c r="F438" s="46"/>
      <c r="G438" s="78"/>
      <c r="H438" s="46">
        <f>C438-D438+E438+G438</f>
        <v>7066.3320000000012</v>
      </c>
    </row>
    <row r="439" spans="1:8" ht="54.95" customHeight="1">
      <c r="A439" s="34" t="s">
        <v>320</v>
      </c>
      <c r="B439" s="33" t="s">
        <v>310</v>
      </c>
      <c r="C439" s="29">
        <f>6140*1.04*1.05</f>
        <v>6704.880000000001</v>
      </c>
      <c r="D439" s="31">
        <f>183*1.04*1.05</f>
        <v>199.83600000000001</v>
      </c>
      <c r="E439" s="64"/>
      <c r="F439" s="64"/>
      <c r="G439" s="79"/>
      <c r="H439" s="64">
        <f t="shared" ref="H439:H447" si="70">C439-D439+E439+G439</f>
        <v>6505.0440000000008</v>
      </c>
    </row>
    <row r="440" spans="1:8" ht="50.1" customHeight="1">
      <c r="A440" s="32" t="s">
        <v>321</v>
      </c>
      <c r="B440" s="16" t="s">
        <v>322</v>
      </c>
      <c r="C440" s="29">
        <f>3543*1.05*1.05</f>
        <v>3906.1575000000003</v>
      </c>
      <c r="D440" s="31"/>
      <c r="E440" s="64"/>
      <c r="F440" s="64"/>
      <c r="G440" s="79"/>
      <c r="H440" s="64">
        <f t="shared" si="70"/>
        <v>3906.1575000000003</v>
      </c>
    </row>
    <row r="441" spans="1:8" ht="57.95" customHeight="1">
      <c r="A441" s="34" t="s">
        <v>323</v>
      </c>
      <c r="B441" s="33" t="s">
        <v>248</v>
      </c>
      <c r="C441" s="29">
        <f>3744*1.05</f>
        <v>3931.2000000000003</v>
      </c>
      <c r="D441" s="31"/>
      <c r="E441" s="64">
        <v>130</v>
      </c>
      <c r="F441" s="64"/>
      <c r="G441" s="79"/>
      <c r="H441" s="64">
        <f t="shared" si="70"/>
        <v>4061.2000000000003</v>
      </c>
    </row>
    <row r="442" spans="1:8" ht="54" customHeight="1">
      <c r="A442" s="34" t="s">
        <v>324</v>
      </c>
      <c r="B442" s="33" t="s">
        <v>248</v>
      </c>
      <c r="C442" s="29">
        <f>3543*1.05*1.05</f>
        <v>3906.1575000000003</v>
      </c>
      <c r="D442" s="31"/>
      <c r="E442" s="64">
        <v>130</v>
      </c>
      <c r="F442" s="64"/>
      <c r="G442" s="79"/>
      <c r="H442" s="64">
        <f t="shared" si="70"/>
        <v>4036.1575000000003</v>
      </c>
    </row>
    <row r="443" spans="1:8" ht="50.1" customHeight="1">
      <c r="A443" s="34" t="s">
        <v>325</v>
      </c>
      <c r="B443" s="33" t="s">
        <v>302</v>
      </c>
      <c r="C443" s="29">
        <f>4067*1.05*1.05</f>
        <v>4483.8675000000003</v>
      </c>
      <c r="D443" s="31"/>
      <c r="E443" s="64">
        <v>110</v>
      </c>
      <c r="F443" s="64"/>
      <c r="G443" s="79"/>
      <c r="H443" s="64">
        <f t="shared" si="70"/>
        <v>4593.8675000000003</v>
      </c>
    </row>
    <row r="444" spans="1:8" ht="54" customHeight="1">
      <c r="A444" s="32" t="s">
        <v>326</v>
      </c>
      <c r="B444" s="16" t="s">
        <v>327</v>
      </c>
      <c r="C444" s="29">
        <f>4013*1.05*1.05</f>
        <v>4424.3325000000004</v>
      </c>
      <c r="D444" s="31"/>
      <c r="E444" s="40">
        <v>110</v>
      </c>
      <c r="F444" s="40"/>
      <c r="G444" s="79"/>
      <c r="H444" s="64">
        <f t="shared" si="70"/>
        <v>4534.3325000000004</v>
      </c>
    </row>
    <row r="445" spans="1:8" ht="50.1" customHeight="1">
      <c r="A445" s="32" t="s">
        <v>328</v>
      </c>
      <c r="B445" s="16" t="s">
        <v>329</v>
      </c>
      <c r="C445" s="29">
        <f>2347*1.05*1.05</f>
        <v>2587.5675000000001</v>
      </c>
      <c r="D445" s="31"/>
      <c r="E445" s="40">
        <v>150</v>
      </c>
      <c r="F445" s="40"/>
      <c r="G445" s="79"/>
      <c r="H445" s="64">
        <f t="shared" si="70"/>
        <v>2737.5675000000001</v>
      </c>
    </row>
    <row r="446" spans="1:8" ht="50.1" customHeight="1">
      <c r="A446" s="32" t="s">
        <v>330</v>
      </c>
      <c r="B446" s="16" t="s">
        <v>331</v>
      </c>
      <c r="C446" s="29">
        <f>3587.85*1.05</f>
        <v>3767.2425000000003</v>
      </c>
      <c r="D446" s="31"/>
      <c r="E446" s="40"/>
      <c r="F446" s="40"/>
      <c r="G446" s="79"/>
      <c r="H446" s="64">
        <f t="shared" si="70"/>
        <v>3767.2425000000003</v>
      </c>
    </row>
    <row r="447" spans="1:8" ht="50.1" customHeight="1">
      <c r="A447" s="34" t="s">
        <v>332</v>
      </c>
      <c r="B447" s="33" t="s">
        <v>232</v>
      </c>
      <c r="C447" s="29">
        <f>3329*1.05*1.05</f>
        <v>3670.2225000000003</v>
      </c>
      <c r="D447" s="31"/>
      <c r="E447" s="40">
        <v>140</v>
      </c>
      <c r="F447" s="40"/>
      <c r="G447" s="79"/>
      <c r="H447" s="64">
        <f t="shared" si="70"/>
        <v>3810.2225000000003</v>
      </c>
    </row>
    <row r="448" spans="1:8" ht="25.5" customHeight="1">
      <c r="A448" s="55"/>
      <c r="B448" s="63" t="s">
        <v>333</v>
      </c>
      <c r="C448" s="41">
        <f t="shared" ref="C448:H448" si="71">SUM(C438:C447)</f>
        <v>44688.199500000002</v>
      </c>
      <c r="D448" s="72">
        <f t="shared" si="71"/>
        <v>440.07600000000002</v>
      </c>
      <c r="E448" s="41">
        <f t="shared" si="71"/>
        <v>770</v>
      </c>
      <c r="F448" s="41">
        <f t="shared" si="71"/>
        <v>0</v>
      </c>
      <c r="G448" s="73">
        <f t="shared" si="71"/>
        <v>0</v>
      </c>
      <c r="H448" s="41">
        <f t="shared" si="71"/>
        <v>45018.123500000002</v>
      </c>
    </row>
    <row r="449" spans="1:8" ht="15" customHeight="1">
      <c r="A449" s="287"/>
      <c r="B449" s="287"/>
      <c r="C449" s="287"/>
      <c r="D449" s="287"/>
      <c r="E449" s="287"/>
      <c r="F449" s="287"/>
      <c r="G449" s="288"/>
      <c r="H449" s="287"/>
    </row>
    <row r="450" spans="1:8" ht="24.75" customHeight="1">
      <c r="A450" s="50" t="s">
        <v>3</v>
      </c>
      <c r="B450" s="50" t="s">
        <v>4</v>
      </c>
      <c r="C450" s="50" t="s">
        <v>5</v>
      </c>
      <c r="D450" s="9" t="s">
        <v>6</v>
      </c>
      <c r="E450" s="50" t="s">
        <v>7</v>
      </c>
      <c r="F450" s="75" t="s">
        <v>8</v>
      </c>
      <c r="G450" s="28" t="str">
        <f>G437</f>
        <v>COMPENSACIONES</v>
      </c>
      <c r="H450" s="50" t="s">
        <v>10</v>
      </c>
    </row>
    <row r="451" spans="1:8" ht="40.5" customHeight="1">
      <c r="A451" s="139" t="s">
        <v>334</v>
      </c>
      <c r="B451" s="16" t="s">
        <v>335</v>
      </c>
      <c r="C451" s="29">
        <f>3500*1.04*1.05</f>
        <v>3822</v>
      </c>
      <c r="D451" s="234"/>
      <c r="E451" s="50"/>
      <c r="F451" s="75"/>
      <c r="G451" s="235"/>
      <c r="H451" s="40">
        <f>C451+G451</f>
        <v>3822</v>
      </c>
    </row>
    <row r="452" spans="1:8" s="4" customFormat="1" ht="56.1" customHeight="1">
      <c r="A452" s="32" t="s">
        <v>336</v>
      </c>
      <c r="B452" s="16" t="s">
        <v>337</v>
      </c>
      <c r="C452" s="29">
        <f>2915*1.05*1.05</f>
        <v>3213.7874999999999</v>
      </c>
      <c r="D452" s="31"/>
      <c r="E452" s="40">
        <v>155</v>
      </c>
      <c r="F452" s="40"/>
      <c r="G452" s="235"/>
      <c r="H452" s="64">
        <f>C452-D452+E452+G452</f>
        <v>3368.7874999999999</v>
      </c>
    </row>
    <row r="453" spans="1:8" ht="25.5" customHeight="1">
      <c r="A453" s="191"/>
      <c r="B453" s="145" t="s">
        <v>338</v>
      </c>
      <c r="C453" s="228">
        <f>SUM(C451:C452)</f>
        <v>7035.7875000000004</v>
      </c>
      <c r="D453" s="236">
        <f t="shared" ref="D453:H453" si="72">SUM(D451:D452)</f>
        <v>0</v>
      </c>
      <c r="E453" s="228">
        <f t="shared" si="72"/>
        <v>155</v>
      </c>
      <c r="F453" s="228">
        <f t="shared" si="72"/>
        <v>0</v>
      </c>
      <c r="G453" s="237">
        <f t="shared" si="72"/>
        <v>0</v>
      </c>
      <c r="H453" s="228">
        <f t="shared" si="72"/>
        <v>7190.7875000000004</v>
      </c>
    </row>
    <row r="454" spans="1:8" ht="25.5" customHeight="1">
      <c r="A454" s="48"/>
      <c r="B454" s="63" t="s">
        <v>339</v>
      </c>
      <c r="C454" s="219">
        <f>SUM(C448+C453)</f>
        <v>51723.987000000001</v>
      </c>
      <c r="D454" s="224">
        <f t="shared" ref="D454:H454" si="73">SUM(D448+D453)</f>
        <v>440.07600000000002</v>
      </c>
      <c r="E454" s="219">
        <f t="shared" si="73"/>
        <v>925</v>
      </c>
      <c r="F454" s="219">
        <f t="shared" si="73"/>
        <v>0</v>
      </c>
      <c r="G454" s="225">
        <f t="shared" si="73"/>
        <v>0</v>
      </c>
      <c r="H454" s="219">
        <f t="shared" si="73"/>
        <v>52208.911</v>
      </c>
    </row>
    <row r="455" spans="1:8" ht="15" customHeight="1">
      <c r="A455" s="279"/>
      <c r="B455" s="279"/>
      <c r="C455" s="279"/>
      <c r="D455" s="279"/>
      <c r="E455" s="279"/>
      <c r="F455" s="279"/>
      <c r="G455" s="280"/>
      <c r="H455" s="279"/>
    </row>
    <row r="456" spans="1:8" ht="15" customHeight="1">
      <c r="A456" s="279"/>
      <c r="B456" s="279"/>
      <c r="C456" s="279"/>
      <c r="D456" s="279"/>
      <c r="E456" s="279"/>
      <c r="F456" s="279"/>
      <c r="G456" s="280"/>
      <c r="H456" s="279"/>
    </row>
    <row r="457" spans="1:8" ht="15" customHeight="1">
      <c r="A457" s="289"/>
      <c r="B457" s="289"/>
      <c r="C457" s="289"/>
      <c r="D457" s="289"/>
      <c r="E457" s="289"/>
      <c r="F457" s="289"/>
      <c r="G457" s="290"/>
      <c r="H457" s="289"/>
    </row>
    <row r="458" spans="1:8" ht="15" customHeight="1">
      <c r="A458" s="276"/>
      <c r="B458" s="276"/>
      <c r="C458" s="276"/>
      <c r="D458" s="277"/>
      <c r="E458" s="276"/>
      <c r="F458" s="276"/>
      <c r="G458" s="278"/>
      <c r="H458" s="276"/>
    </row>
    <row r="459" spans="1:8" ht="24.75" customHeight="1">
      <c r="A459" s="50" t="s">
        <v>3</v>
      </c>
      <c r="B459" s="50" t="s">
        <v>4</v>
      </c>
      <c r="C459" s="50" t="s">
        <v>5</v>
      </c>
      <c r="D459" s="9" t="s">
        <v>6</v>
      </c>
      <c r="E459" s="50" t="s">
        <v>7</v>
      </c>
      <c r="F459" s="75" t="s">
        <v>8</v>
      </c>
      <c r="G459" s="28" t="str">
        <f>G450</f>
        <v>COMPENSACIONES</v>
      </c>
      <c r="H459" s="50" t="s">
        <v>10</v>
      </c>
    </row>
    <row r="460" spans="1:8" ht="53.1" customHeight="1">
      <c r="A460" s="34" t="s">
        <v>340</v>
      </c>
      <c r="B460" s="14" t="s">
        <v>341</v>
      </c>
      <c r="C460" s="29">
        <f>1548*1.04*1.05</f>
        <v>1690.4160000000002</v>
      </c>
      <c r="D460" s="30"/>
      <c r="E460" s="64">
        <v>175</v>
      </c>
      <c r="F460" s="238"/>
      <c r="G460" s="79"/>
      <c r="H460" s="40">
        <f>C460-D460+E460+G460</f>
        <v>1865.4160000000002</v>
      </c>
    </row>
    <row r="461" spans="1:8" ht="59.1" customHeight="1">
      <c r="A461" s="34" t="s">
        <v>342</v>
      </c>
      <c r="B461" s="14" t="s">
        <v>341</v>
      </c>
      <c r="C461" s="29">
        <f>1548*1.04*1.05</f>
        <v>1690.4160000000002</v>
      </c>
      <c r="D461" s="30"/>
      <c r="E461" s="64">
        <v>175</v>
      </c>
      <c r="F461" s="238"/>
      <c r="G461" s="79"/>
      <c r="H461" s="40">
        <f t="shared" ref="H461:H498" si="74">C461-D461+E461+G461</f>
        <v>1865.4160000000002</v>
      </c>
    </row>
    <row r="462" spans="1:8" ht="59.1" customHeight="1">
      <c r="A462" s="34" t="s">
        <v>343</v>
      </c>
      <c r="B462" s="14" t="s">
        <v>341</v>
      </c>
      <c r="C462" s="29">
        <f>2055*1.04*1.05</f>
        <v>2244.0600000000004</v>
      </c>
      <c r="D462" s="30"/>
      <c r="E462" s="64">
        <v>167</v>
      </c>
      <c r="F462" s="238"/>
      <c r="G462" s="79"/>
      <c r="H462" s="40">
        <f t="shared" si="74"/>
        <v>2411.0600000000004</v>
      </c>
    </row>
    <row r="463" spans="1:8" ht="50.1" customHeight="1">
      <c r="A463" s="34" t="s">
        <v>344</v>
      </c>
      <c r="B463" s="14" t="s">
        <v>341</v>
      </c>
      <c r="C463" s="29">
        <f>3114*1.04*1.05</f>
        <v>3400.4880000000003</v>
      </c>
      <c r="D463" s="30"/>
      <c r="E463" s="64">
        <v>142</v>
      </c>
      <c r="F463" s="238"/>
      <c r="G463" s="79"/>
      <c r="H463" s="40">
        <f t="shared" si="74"/>
        <v>3542.4880000000003</v>
      </c>
    </row>
    <row r="464" spans="1:8" ht="53.1" customHeight="1">
      <c r="A464" s="34" t="s">
        <v>345</v>
      </c>
      <c r="B464" s="14" t="s">
        <v>341</v>
      </c>
      <c r="C464" s="29">
        <f>1377*1.04*1.05</f>
        <v>1503.6840000000002</v>
      </c>
      <c r="D464" s="30"/>
      <c r="E464" s="64">
        <v>175</v>
      </c>
      <c r="F464" s="238"/>
      <c r="G464" s="79"/>
      <c r="H464" s="40">
        <f t="shared" si="74"/>
        <v>1678.6840000000002</v>
      </c>
    </row>
    <row r="465" spans="1:8" ht="53.1" customHeight="1">
      <c r="A465" s="34" t="s">
        <v>346</v>
      </c>
      <c r="B465" s="14" t="s">
        <v>341</v>
      </c>
      <c r="C465" s="29">
        <f>3616*1.04*1.05</f>
        <v>3948.6720000000005</v>
      </c>
      <c r="D465" s="30"/>
      <c r="E465" s="64">
        <v>129</v>
      </c>
      <c r="F465" s="238"/>
      <c r="G465" s="79"/>
      <c r="H465" s="40">
        <f t="shared" si="74"/>
        <v>4077.6720000000005</v>
      </c>
    </row>
    <row r="466" spans="1:8" ht="54" customHeight="1">
      <c r="A466" s="34" t="s">
        <v>347</v>
      </c>
      <c r="B466" s="14" t="s">
        <v>341</v>
      </c>
      <c r="C466" s="29">
        <f>4415*1.04*1.05</f>
        <v>4821.18</v>
      </c>
      <c r="D466" s="30"/>
      <c r="E466" s="64">
        <v>90</v>
      </c>
      <c r="F466" s="238"/>
      <c r="G466" s="79"/>
      <c r="H466" s="40">
        <f t="shared" si="74"/>
        <v>4911.18</v>
      </c>
    </row>
    <row r="467" spans="1:8" ht="53.1" customHeight="1">
      <c r="A467" s="34" t="s">
        <v>348</v>
      </c>
      <c r="B467" s="14" t="s">
        <v>341</v>
      </c>
      <c r="C467" s="29">
        <f>4946.24*1.05</f>
        <v>5193.5519999999997</v>
      </c>
      <c r="D467" s="30"/>
      <c r="E467" s="64">
        <v>90</v>
      </c>
      <c r="F467" s="238"/>
      <c r="G467" s="79"/>
      <c r="H467" s="40">
        <f t="shared" si="74"/>
        <v>5283.5519999999997</v>
      </c>
    </row>
    <row r="468" spans="1:8" ht="60" customHeight="1">
      <c r="A468" s="34" t="s">
        <v>349</v>
      </c>
      <c r="B468" s="14" t="s">
        <v>341</v>
      </c>
      <c r="C468" s="29">
        <f>4415*1.04*1.05</f>
        <v>4821.18</v>
      </c>
      <c r="D468" s="30"/>
      <c r="E468" s="64">
        <v>90</v>
      </c>
      <c r="F468" s="238"/>
      <c r="G468" s="79"/>
      <c r="H468" s="40">
        <f t="shared" si="74"/>
        <v>4911.18</v>
      </c>
    </row>
    <row r="469" spans="1:8" ht="60" customHeight="1">
      <c r="A469" s="34" t="s">
        <v>350</v>
      </c>
      <c r="B469" s="14" t="s">
        <v>341</v>
      </c>
      <c r="C469" s="29">
        <f>4415*1.04*1.05</f>
        <v>4821.18</v>
      </c>
      <c r="D469" s="30"/>
      <c r="E469" s="64">
        <v>90</v>
      </c>
      <c r="F469" s="238"/>
      <c r="G469" s="79"/>
      <c r="H469" s="40">
        <f t="shared" si="74"/>
        <v>4911.18</v>
      </c>
    </row>
    <row r="470" spans="1:8" ht="60" customHeight="1">
      <c r="A470" s="34" t="s">
        <v>351</v>
      </c>
      <c r="B470" s="14" t="s">
        <v>341</v>
      </c>
      <c r="C470" s="29">
        <f>4415*1.04*1.05</f>
        <v>4821.18</v>
      </c>
      <c r="D470" s="30"/>
      <c r="E470" s="64">
        <v>90</v>
      </c>
      <c r="F470" s="238"/>
      <c r="G470" s="79"/>
      <c r="H470" s="40">
        <f t="shared" si="74"/>
        <v>4911.18</v>
      </c>
    </row>
    <row r="471" spans="1:8" ht="57" customHeight="1">
      <c r="A471" s="34" t="s">
        <v>352</v>
      </c>
      <c r="B471" s="14" t="s">
        <v>341</v>
      </c>
      <c r="C471" s="29">
        <f>4067*1.04*1.05</f>
        <v>4441.1640000000007</v>
      </c>
      <c r="D471" s="30"/>
      <c r="E471" s="64">
        <v>111</v>
      </c>
      <c r="F471" s="238"/>
      <c r="G471" s="79"/>
      <c r="H471" s="40">
        <f t="shared" si="74"/>
        <v>4552.1640000000007</v>
      </c>
    </row>
    <row r="472" spans="1:8" ht="63.95" customHeight="1">
      <c r="A472" s="34" t="s">
        <v>353</v>
      </c>
      <c r="B472" s="14" t="s">
        <v>341</v>
      </c>
      <c r="C472" s="29">
        <f>3026*1.04*1.05</f>
        <v>3304.3920000000003</v>
      </c>
      <c r="D472" s="30"/>
      <c r="E472" s="64">
        <v>142</v>
      </c>
      <c r="F472" s="64"/>
      <c r="G472" s="79"/>
      <c r="H472" s="40">
        <f t="shared" si="74"/>
        <v>3446.3920000000003</v>
      </c>
    </row>
    <row r="473" spans="1:8" ht="53.1" customHeight="1">
      <c r="A473" s="34" t="s">
        <v>354</v>
      </c>
      <c r="B473" s="14" t="s">
        <v>341</v>
      </c>
      <c r="C473" s="29">
        <f>4415*1.04*1.05</f>
        <v>4821.18</v>
      </c>
      <c r="D473" s="30"/>
      <c r="E473" s="64">
        <v>90</v>
      </c>
      <c r="F473" s="64"/>
      <c r="G473" s="79"/>
      <c r="H473" s="40">
        <f t="shared" si="74"/>
        <v>4911.18</v>
      </c>
    </row>
    <row r="474" spans="1:8" ht="65.099999999999994" customHeight="1">
      <c r="A474" s="34" t="s">
        <v>355</v>
      </c>
      <c r="B474" s="14" t="s">
        <v>341</v>
      </c>
      <c r="C474" s="29">
        <f>3742*1.04*1.05</f>
        <v>4086.2640000000006</v>
      </c>
      <c r="D474" s="30"/>
      <c r="E474" s="64">
        <v>129</v>
      </c>
      <c r="F474" s="64"/>
      <c r="G474" s="79"/>
      <c r="H474" s="40">
        <f t="shared" si="74"/>
        <v>4215.264000000001</v>
      </c>
    </row>
    <row r="475" spans="1:8" ht="60" customHeight="1">
      <c r="A475" s="34" t="s">
        <v>356</v>
      </c>
      <c r="B475" s="14" t="s">
        <v>341</v>
      </c>
      <c r="C475" s="29">
        <f>8202*1.04*1.05</f>
        <v>8956.5840000000007</v>
      </c>
      <c r="D475" s="30"/>
      <c r="E475" s="64"/>
      <c r="F475" s="64"/>
      <c r="G475" s="79"/>
      <c r="H475" s="40">
        <f t="shared" si="74"/>
        <v>8956.5840000000007</v>
      </c>
    </row>
    <row r="476" spans="1:8" ht="71.099999999999994" customHeight="1">
      <c r="A476" s="34" t="s">
        <v>357</v>
      </c>
      <c r="B476" s="14" t="s">
        <v>341</v>
      </c>
      <c r="C476" s="29">
        <f>2651*1.04*1.05</f>
        <v>2894.8920000000003</v>
      </c>
      <c r="D476" s="30"/>
      <c r="E476" s="64">
        <v>142</v>
      </c>
      <c r="F476" s="64"/>
      <c r="G476" s="79"/>
      <c r="H476" s="40">
        <f t="shared" si="74"/>
        <v>3036.8920000000003</v>
      </c>
    </row>
    <row r="477" spans="1:8" ht="69" customHeight="1">
      <c r="A477" s="32" t="s">
        <v>358</v>
      </c>
      <c r="B477" s="14" t="s">
        <v>341</v>
      </c>
      <c r="C477" s="29">
        <f>4415*1.04*1.05</f>
        <v>4821.18</v>
      </c>
      <c r="D477" s="69"/>
      <c r="E477" s="40">
        <v>90</v>
      </c>
      <c r="F477" s="40"/>
      <c r="G477" s="79"/>
      <c r="H477" s="40">
        <f t="shared" si="74"/>
        <v>4911.18</v>
      </c>
    </row>
    <row r="478" spans="1:8" ht="53.1" customHeight="1">
      <c r="A478" s="34" t="s">
        <v>359</v>
      </c>
      <c r="B478" s="33" t="s">
        <v>360</v>
      </c>
      <c r="C478" s="29">
        <f>3784*1.04*1.05</f>
        <v>4132.1280000000006</v>
      </c>
      <c r="D478" s="155"/>
      <c r="E478" s="156">
        <v>90</v>
      </c>
      <c r="F478" s="156"/>
      <c r="G478" s="79"/>
      <c r="H478" s="40">
        <f t="shared" si="74"/>
        <v>4222.1280000000006</v>
      </c>
    </row>
    <row r="479" spans="1:8" ht="65.099999999999994" customHeight="1">
      <c r="A479" s="34" t="s">
        <v>361</v>
      </c>
      <c r="B479" s="33" t="s">
        <v>360</v>
      </c>
      <c r="C479" s="29">
        <f>3312*1.04*1.05</f>
        <v>3616.7040000000002</v>
      </c>
      <c r="D479" s="155"/>
      <c r="E479" s="156">
        <v>138</v>
      </c>
      <c r="F479" s="156"/>
      <c r="G479" s="79"/>
      <c r="H479" s="40">
        <f t="shared" si="74"/>
        <v>3754.7040000000002</v>
      </c>
    </row>
    <row r="480" spans="1:8" ht="65.099999999999994" customHeight="1">
      <c r="A480" s="229" t="s">
        <v>362</v>
      </c>
      <c r="B480" s="17" t="s">
        <v>360</v>
      </c>
      <c r="C480" s="230">
        <f>3709*1.04*1.05</f>
        <v>4050.2280000000005</v>
      </c>
      <c r="D480" s="239"/>
      <c r="E480" s="150">
        <v>129</v>
      </c>
      <c r="F480" s="150"/>
      <c r="G480" s="79"/>
      <c r="H480" s="40">
        <f t="shared" si="74"/>
        <v>4179.228000000001</v>
      </c>
    </row>
    <row r="481" spans="1:8" ht="75.95" customHeight="1">
      <c r="A481" s="34" t="s">
        <v>363</v>
      </c>
      <c r="B481" s="33" t="s">
        <v>364</v>
      </c>
      <c r="C481" s="29">
        <f>2646*1.04*1.05</f>
        <v>2889.4320000000002</v>
      </c>
      <c r="D481" s="69"/>
      <c r="E481" s="40">
        <v>129</v>
      </c>
      <c r="F481" s="40"/>
      <c r="G481" s="79"/>
      <c r="H481" s="40">
        <f t="shared" si="74"/>
        <v>3018.4320000000002</v>
      </c>
    </row>
    <row r="482" spans="1:8" ht="63.95" customHeight="1">
      <c r="A482" s="34" t="s">
        <v>365</v>
      </c>
      <c r="B482" s="33" t="s">
        <v>364</v>
      </c>
      <c r="C482" s="29">
        <f>4403*1.04*1.05</f>
        <v>4808.076</v>
      </c>
      <c r="D482" s="69"/>
      <c r="E482" s="40">
        <v>90</v>
      </c>
      <c r="F482" s="40"/>
      <c r="G482" s="79"/>
      <c r="H482" s="40">
        <f t="shared" si="74"/>
        <v>4898.076</v>
      </c>
    </row>
    <row r="483" spans="1:8" ht="60" customHeight="1">
      <c r="A483" s="34" t="s">
        <v>366</v>
      </c>
      <c r="B483" s="33" t="s">
        <v>360</v>
      </c>
      <c r="C483" s="29">
        <f>4067*1.04*1.05</f>
        <v>4441.1640000000007</v>
      </c>
      <c r="D483" s="30"/>
      <c r="E483" s="64">
        <v>111</v>
      </c>
      <c r="F483" s="64"/>
      <c r="G483" s="79"/>
      <c r="H483" s="40">
        <f t="shared" si="74"/>
        <v>4552.1640000000007</v>
      </c>
    </row>
    <row r="484" spans="1:8" ht="60" customHeight="1">
      <c r="A484" s="34" t="s">
        <v>367</v>
      </c>
      <c r="B484" s="161" t="s">
        <v>364</v>
      </c>
      <c r="C484" s="29">
        <f>7215*1.04*1.05</f>
        <v>7878.7800000000007</v>
      </c>
      <c r="D484" s="69"/>
      <c r="E484" s="40"/>
      <c r="F484" s="40"/>
      <c r="G484" s="79"/>
      <c r="H484" s="40">
        <f t="shared" si="74"/>
        <v>7878.7800000000007</v>
      </c>
    </row>
    <row r="485" spans="1:8" ht="66.95" customHeight="1">
      <c r="A485" s="32" t="s">
        <v>368</v>
      </c>
      <c r="B485" s="33" t="s">
        <v>364</v>
      </c>
      <c r="C485" s="29">
        <f>4415*1.04*1.05</f>
        <v>4821.18</v>
      </c>
      <c r="D485" s="239"/>
      <c r="E485" s="150">
        <v>90</v>
      </c>
      <c r="F485" s="150"/>
      <c r="G485" s="79"/>
      <c r="H485" s="40">
        <f t="shared" si="74"/>
        <v>4911.18</v>
      </c>
    </row>
    <row r="486" spans="1:8" ht="66" customHeight="1">
      <c r="A486" s="32" t="s">
        <v>369</v>
      </c>
      <c r="B486" s="33" t="s">
        <v>360</v>
      </c>
      <c r="C486" s="29">
        <f>6515*1.04*1.05</f>
        <v>7114.380000000001</v>
      </c>
      <c r="D486" s="239"/>
      <c r="E486" s="150"/>
      <c r="F486" s="150"/>
      <c r="G486" s="79"/>
      <c r="H486" s="40">
        <f t="shared" si="74"/>
        <v>7114.380000000001</v>
      </c>
    </row>
    <row r="487" spans="1:8" ht="78" customHeight="1">
      <c r="A487" s="32" t="s">
        <v>370</v>
      </c>
      <c r="B487" s="33" t="s">
        <v>360</v>
      </c>
      <c r="C487" s="29">
        <f>7215*1.04*1.05</f>
        <v>7878.7800000000007</v>
      </c>
      <c r="D487" s="239"/>
      <c r="E487" s="150"/>
      <c r="F487" s="150"/>
      <c r="G487" s="79"/>
      <c r="H487" s="40">
        <f t="shared" si="74"/>
        <v>7878.7800000000007</v>
      </c>
    </row>
    <row r="488" spans="1:8" ht="63" customHeight="1">
      <c r="A488" s="34" t="s">
        <v>371</v>
      </c>
      <c r="B488" s="161" t="s">
        <v>360</v>
      </c>
      <c r="C488" s="29">
        <f>6335*1.04*1.05</f>
        <v>6917.8200000000006</v>
      </c>
      <c r="D488" s="239"/>
      <c r="E488" s="150"/>
      <c r="F488" s="150"/>
      <c r="G488" s="79"/>
      <c r="H488" s="40">
        <f t="shared" si="74"/>
        <v>6917.8200000000006</v>
      </c>
    </row>
    <row r="489" spans="1:8" ht="69.95" customHeight="1">
      <c r="A489" s="34" t="s">
        <v>372</v>
      </c>
      <c r="B489" s="16" t="s">
        <v>360</v>
      </c>
      <c r="C489" s="29">
        <f>4817*1.04*1.05</f>
        <v>5260.1640000000007</v>
      </c>
      <c r="D489" s="69"/>
      <c r="E489" s="150"/>
      <c r="F489" s="150"/>
      <c r="G489" s="79"/>
      <c r="H489" s="40">
        <f t="shared" si="74"/>
        <v>5260.1640000000007</v>
      </c>
    </row>
    <row r="490" spans="1:8" ht="65.099999999999994" customHeight="1">
      <c r="A490" s="34" t="s">
        <v>373</v>
      </c>
      <c r="B490" s="16" t="s">
        <v>374</v>
      </c>
      <c r="C490" s="29">
        <f>8886*1.04*1.05</f>
        <v>9703.5120000000006</v>
      </c>
      <c r="D490" s="69"/>
      <c r="E490" s="150"/>
      <c r="F490" s="150"/>
      <c r="G490" s="79"/>
      <c r="H490" s="40">
        <f t="shared" si="74"/>
        <v>9703.5120000000006</v>
      </c>
    </row>
    <row r="491" spans="1:8" ht="62.1" customHeight="1">
      <c r="A491" s="34" t="s">
        <v>375</v>
      </c>
      <c r="B491" s="16" t="s">
        <v>374</v>
      </c>
      <c r="C491" s="29">
        <f>6019*1.04*1.05</f>
        <v>6572.7480000000005</v>
      </c>
      <c r="D491" s="69"/>
      <c r="E491" s="150"/>
      <c r="F491" s="150"/>
      <c r="G491" s="79"/>
      <c r="H491" s="40">
        <f t="shared" si="74"/>
        <v>6572.7480000000005</v>
      </c>
    </row>
    <row r="492" spans="1:8" ht="36">
      <c r="A492" s="34" t="s">
        <v>376</v>
      </c>
      <c r="B492" s="16" t="s">
        <v>374</v>
      </c>
      <c r="C492" s="29">
        <f>6338*1.04*1.05</f>
        <v>6921.0960000000005</v>
      </c>
      <c r="D492" s="69"/>
      <c r="E492" s="150"/>
      <c r="F492" s="150"/>
      <c r="G492" s="79"/>
      <c r="H492" s="40">
        <f t="shared" si="74"/>
        <v>6921.0960000000005</v>
      </c>
    </row>
    <row r="493" spans="1:8" ht="60" customHeight="1">
      <c r="A493" s="34" t="s">
        <v>377</v>
      </c>
      <c r="B493" s="16" t="s">
        <v>374</v>
      </c>
      <c r="C493" s="29">
        <f>2891*1.04*1.05</f>
        <v>3156.9720000000007</v>
      </c>
      <c r="D493" s="69"/>
      <c r="E493" s="150">
        <v>90</v>
      </c>
      <c r="F493" s="150"/>
      <c r="G493" s="79"/>
      <c r="H493" s="40">
        <f t="shared" si="74"/>
        <v>3246.9720000000007</v>
      </c>
    </row>
    <row r="494" spans="1:8" ht="60.95" customHeight="1">
      <c r="A494" s="34" t="s">
        <v>378</v>
      </c>
      <c r="B494" s="16" t="s">
        <v>374</v>
      </c>
      <c r="C494" s="29">
        <f>4707*1.04*1.05</f>
        <v>5140.0439999999999</v>
      </c>
      <c r="D494" s="69"/>
      <c r="E494" s="150">
        <v>90</v>
      </c>
      <c r="F494" s="150"/>
      <c r="G494" s="79"/>
      <c r="H494" s="40">
        <f t="shared" si="74"/>
        <v>5230.0439999999999</v>
      </c>
    </row>
    <row r="495" spans="1:8" ht="66.95" customHeight="1">
      <c r="A495" s="32" t="s">
        <v>379</v>
      </c>
      <c r="B495" s="16" t="s">
        <v>380</v>
      </c>
      <c r="C495" s="29">
        <f>6035*1.04*1.05</f>
        <v>6590.2200000000012</v>
      </c>
      <c r="D495" s="69"/>
      <c r="E495" s="150"/>
      <c r="F495" s="150"/>
      <c r="G495" s="79"/>
      <c r="H495" s="40">
        <f t="shared" si="74"/>
        <v>6590.2200000000012</v>
      </c>
    </row>
    <row r="496" spans="1:8" ht="60" customHeight="1">
      <c r="A496" s="34" t="s">
        <v>381</v>
      </c>
      <c r="B496" s="16" t="s">
        <v>380</v>
      </c>
      <c r="C496" s="29">
        <f>4985.28/2*1.05</f>
        <v>2617.2719999999999</v>
      </c>
      <c r="D496" s="69"/>
      <c r="E496" s="150"/>
      <c r="F496" s="150"/>
      <c r="G496" s="79"/>
      <c r="H496" s="40">
        <f t="shared" si="74"/>
        <v>2617.2719999999999</v>
      </c>
    </row>
    <row r="497" spans="1:8" ht="57.95" customHeight="1">
      <c r="A497" s="36" t="s">
        <v>382</v>
      </c>
      <c r="B497" s="16" t="s">
        <v>380</v>
      </c>
      <c r="C497" s="29">
        <f>6173.44/2*1.05</f>
        <v>3241.056</v>
      </c>
      <c r="D497" s="69"/>
      <c r="E497" s="150"/>
      <c r="F497" s="150"/>
      <c r="G497" s="79"/>
      <c r="H497" s="40">
        <f t="shared" si="74"/>
        <v>3241.056</v>
      </c>
    </row>
    <row r="498" spans="1:8" ht="53.1" customHeight="1">
      <c r="A498" s="34" t="s">
        <v>383</v>
      </c>
      <c r="B498" s="16" t="s">
        <v>374</v>
      </c>
      <c r="C498" s="29">
        <f>3018*1.04*1.05</f>
        <v>3295.6560000000004</v>
      </c>
      <c r="D498" s="69"/>
      <c r="E498" s="150">
        <v>90</v>
      </c>
      <c r="F498" s="150"/>
      <c r="G498" s="79"/>
      <c r="H498" s="40">
        <f t="shared" si="74"/>
        <v>3385.6560000000004</v>
      </c>
    </row>
    <row r="499" spans="1:8" ht="25.5" customHeight="1">
      <c r="A499" s="100"/>
      <c r="B499" s="231" t="s">
        <v>384</v>
      </c>
      <c r="C499" s="232">
        <f t="shared" ref="C499:H499" si="75">SUM(C460:C498)</f>
        <v>183329.076</v>
      </c>
      <c r="D499" s="240">
        <f t="shared" si="75"/>
        <v>0</v>
      </c>
      <c r="E499" s="232">
        <f t="shared" si="75"/>
        <v>3164</v>
      </c>
      <c r="F499" s="232">
        <f t="shared" si="75"/>
        <v>0</v>
      </c>
      <c r="G499" s="241">
        <f t="shared" si="75"/>
        <v>0</v>
      </c>
      <c r="H499" s="232">
        <f t="shared" si="75"/>
        <v>186493.076</v>
      </c>
    </row>
    <row r="500" spans="1:8" ht="15" customHeight="1">
      <c r="A500" s="276"/>
      <c r="B500" s="276"/>
      <c r="C500" s="276"/>
      <c r="D500" s="277"/>
      <c r="E500" s="276"/>
      <c r="F500" s="276"/>
      <c r="G500" s="278"/>
      <c r="H500" s="276"/>
    </row>
    <row r="501" spans="1:8" ht="48" customHeight="1">
      <c r="A501" s="34" t="s">
        <v>385</v>
      </c>
      <c r="B501" s="233" t="s">
        <v>386</v>
      </c>
      <c r="C501" s="29">
        <f>1625*1.04*1.05</f>
        <v>1774.5</v>
      </c>
      <c r="D501" s="30"/>
      <c r="E501" s="64">
        <v>175</v>
      </c>
      <c r="F501" s="64"/>
      <c r="G501" s="79"/>
      <c r="H501" s="40">
        <f>C501-D501+E501+G501</f>
        <v>1949.5</v>
      </c>
    </row>
    <row r="502" spans="1:8" ht="51" customHeight="1">
      <c r="A502" s="34" t="s">
        <v>387</v>
      </c>
      <c r="B502" s="233" t="s">
        <v>386</v>
      </c>
      <c r="C502" s="29">
        <f>1625*1.04*1.05</f>
        <v>1774.5</v>
      </c>
      <c r="D502" s="30"/>
      <c r="E502" s="64">
        <v>175</v>
      </c>
      <c r="F502" s="64"/>
      <c r="G502" s="79"/>
      <c r="H502" s="40">
        <f>C502-D502+E502+G502</f>
        <v>1949.5</v>
      </c>
    </row>
    <row r="503" spans="1:8" ht="51" customHeight="1">
      <c r="A503" s="34" t="s">
        <v>388</v>
      </c>
      <c r="B503" s="233" t="s">
        <v>386</v>
      </c>
      <c r="C503" s="29">
        <f>1625*1.04*1.05</f>
        <v>1774.5</v>
      </c>
      <c r="D503" s="30"/>
      <c r="E503" s="64">
        <v>175</v>
      </c>
      <c r="F503" s="64"/>
      <c r="G503" s="79"/>
      <c r="H503" s="40">
        <f t="shared" ref="H503:H507" si="76">C503-D503+E503+G503</f>
        <v>1949.5</v>
      </c>
    </row>
    <row r="504" spans="1:8" ht="59.1" customHeight="1">
      <c r="A504" s="34" t="s">
        <v>389</v>
      </c>
      <c r="B504" s="233" t="s">
        <v>386</v>
      </c>
      <c r="C504" s="29">
        <f>5539*1.04*1.05</f>
        <v>6048.5880000000006</v>
      </c>
      <c r="D504" s="30"/>
      <c r="E504" s="64">
        <v>30</v>
      </c>
      <c r="F504" s="238"/>
      <c r="G504" s="79"/>
      <c r="H504" s="40">
        <f t="shared" si="76"/>
        <v>6078.5880000000006</v>
      </c>
    </row>
    <row r="505" spans="1:8" ht="51" customHeight="1">
      <c r="A505" s="34" t="s">
        <v>390</v>
      </c>
      <c r="B505" s="233" t="s">
        <v>386</v>
      </c>
      <c r="C505" s="29">
        <f>611*1.04*1.05</f>
        <v>667.2120000000001</v>
      </c>
      <c r="D505" s="30"/>
      <c r="E505" s="64">
        <v>175</v>
      </c>
      <c r="F505" s="238"/>
      <c r="G505" s="79"/>
      <c r="H505" s="40">
        <f t="shared" si="76"/>
        <v>842.2120000000001</v>
      </c>
    </row>
    <row r="506" spans="1:8" ht="51" customHeight="1">
      <c r="A506" s="36" t="s">
        <v>391</v>
      </c>
      <c r="B506" s="233" t="s">
        <v>386</v>
      </c>
      <c r="C506" s="29">
        <f>3778.88/2*1.05</f>
        <v>1983.912</v>
      </c>
      <c r="D506" s="30"/>
      <c r="E506" s="64"/>
      <c r="F506" s="238"/>
      <c r="G506" s="79"/>
      <c r="H506" s="40">
        <f t="shared" si="76"/>
        <v>1983.912</v>
      </c>
    </row>
    <row r="507" spans="1:8" s="1" customFormat="1" ht="51" customHeight="1">
      <c r="A507" s="32" t="s">
        <v>392</v>
      </c>
      <c r="B507" s="233" t="s">
        <v>393</v>
      </c>
      <c r="C507" s="29">
        <f>4079*1.04*1.05</f>
        <v>4454.268</v>
      </c>
      <c r="D507" s="69"/>
      <c r="E507" s="40">
        <v>90</v>
      </c>
      <c r="F507" s="40"/>
      <c r="G507" s="79"/>
      <c r="H507" s="40">
        <f t="shared" si="76"/>
        <v>4544.268</v>
      </c>
    </row>
    <row r="508" spans="1:8" ht="32.1" customHeight="1">
      <c r="A508" s="55"/>
      <c r="B508" s="63" t="s">
        <v>394</v>
      </c>
      <c r="C508" s="137">
        <f t="shared" ref="C508:H508" si="77">SUM(C501:C507)</f>
        <v>18477.48</v>
      </c>
      <c r="D508" s="148">
        <f t="shared" si="77"/>
        <v>0</v>
      </c>
      <c r="E508" s="137">
        <f t="shared" si="77"/>
        <v>820</v>
      </c>
      <c r="F508" s="137">
        <f t="shared" si="77"/>
        <v>0</v>
      </c>
      <c r="G508" s="149">
        <f t="shared" si="77"/>
        <v>0</v>
      </c>
      <c r="H508" s="137">
        <f t="shared" si="77"/>
        <v>19297.48</v>
      </c>
    </row>
    <row r="509" spans="1:8" ht="33.950000000000003" customHeight="1">
      <c r="A509" s="48"/>
      <c r="B509" s="63" t="s">
        <v>395</v>
      </c>
      <c r="C509" s="219">
        <f t="shared" ref="C509:H509" si="78">C499+C508</f>
        <v>201806.55600000001</v>
      </c>
      <c r="D509" s="224">
        <f t="shared" si="78"/>
        <v>0</v>
      </c>
      <c r="E509" s="219">
        <f t="shared" si="78"/>
        <v>3984</v>
      </c>
      <c r="F509" s="219">
        <f t="shared" si="78"/>
        <v>0</v>
      </c>
      <c r="G509" s="225">
        <f t="shared" si="78"/>
        <v>0</v>
      </c>
      <c r="H509" s="219">
        <f t="shared" si="78"/>
        <v>205790.55600000001</v>
      </c>
    </row>
    <row r="510" spans="1:8" ht="15" customHeight="1">
      <c r="A510" s="279"/>
      <c r="B510" s="279"/>
      <c r="C510" s="279"/>
      <c r="D510" s="279"/>
      <c r="E510" s="279"/>
      <c r="F510" s="279"/>
      <c r="G510" s="280"/>
      <c r="H510" s="279"/>
    </row>
    <row r="511" spans="1:8" ht="15" customHeight="1">
      <c r="A511" s="279"/>
      <c r="B511" s="279"/>
      <c r="C511" s="279"/>
      <c r="D511" s="279"/>
      <c r="E511" s="279"/>
      <c r="F511" s="279"/>
      <c r="G511" s="280"/>
      <c r="H511" s="279"/>
    </row>
    <row r="512" spans="1:8" ht="15" customHeight="1">
      <c r="A512" s="281"/>
      <c r="B512" s="281"/>
      <c r="C512" s="281"/>
      <c r="D512" s="281"/>
      <c r="E512" s="281"/>
      <c r="F512" s="281"/>
      <c r="G512" s="282"/>
      <c r="H512" s="281"/>
    </row>
    <row r="513" spans="1:8" ht="15" customHeight="1">
      <c r="A513" s="276"/>
      <c r="B513" s="276"/>
      <c r="C513" s="276"/>
      <c r="D513" s="277"/>
      <c r="E513" s="276"/>
      <c r="F513" s="276"/>
      <c r="G513" s="278"/>
      <c r="H513" s="276"/>
    </row>
    <row r="514" spans="1:8" ht="24.75" customHeight="1">
      <c r="A514" s="50" t="s">
        <v>3</v>
      </c>
      <c r="B514" s="50" t="s">
        <v>4</v>
      </c>
      <c r="C514" s="50" t="s">
        <v>5</v>
      </c>
      <c r="D514" s="9" t="s">
        <v>6</v>
      </c>
      <c r="E514" s="50" t="s">
        <v>7</v>
      </c>
      <c r="F514" s="75" t="s">
        <v>8</v>
      </c>
      <c r="G514" s="28" t="s">
        <v>9</v>
      </c>
      <c r="H514" s="50" t="s">
        <v>10</v>
      </c>
    </row>
    <row r="515" spans="1:8" s="5" customFormat="1" ht="51" customHeight="1">
      <c r="A515" s="34" t="s">
        <v>396</v>
      </c>
      <c r="B515" s="33" t="s">
        <v>397</v>
      </c>
      <c r="C515" s="29">
        <f>2210*1.04*1.05</f>
        <v>2413.3200000000002</v>
      </c>
      <c r="D515" s="69"/>
      <c r="E515" s="40">
        <v>165</v>
      </c>
      <c r="F515" s="87"/>
      <c r="G515" s="79"/>
      <c r="H515" s="40">
        <f>C515-D515+E515+G515</f>
        <v>2578.3200000000002</v>
      </c>
    </row>
    <row r="516" spans="1:8" ht="25.5" customHeight="1">
      <c r="A516" s="48"/>
      <c r="B516" s="20" t="s">
        <v>23</v>
      </c>
      <c r="C516" s="41">
        <f>SUM(C515)</f>
        <v>2413.3200000000002</v>
      </c>
      <c r="D516" s="72">
        <f t="shared" ref="D516:H516" si="79">SUM(D515)</f>
        <v>0</v>
      </c>
      <c r="E516" s="41">
        <f t="shared" si="79"/>
        <v>165</v>
      </c>
      <c r="F516" s="41">
        <f t="shared" si="79"/>
        <v>0</v>
      </c>
      <c r="G516" s="73">
        <f t="shared" si="79"/>
        <v>0</v>
      </c>
      <c r="H516" s="41">
        <f t="shared" si="79"/>
        <v>2578.3200000000002</v>
      </c>
    </row>
    <row r="517" spans="1:8" ht="15" customHeight="1">
      <c r="A517" s="283"/>
      <c r="B517" s="283"/>
      <c r="C517" s="283"/>
      <c r="D517" s="283"/>
      <c r="E517" s="283"/>
      <c r="F517" s="283"/>
      <c r="G517" s="284"/>
      <c r="H517" s="283"/>
    </row>
    <row r="518" spans="1:8" ht="15" customHeight="1">
      <c r="A518" s="283"/>
      <c r="B518" s="283"/>
      <c r="C518" s="283"/>
      <c r="D518" s="283"/>
      <c r="E518" s="283"/>
      <c r="F518" s="283"/>
      <c r="G518" s="284"/>
      <c r="H518" s="283"/>
    </row>
    <row r="519" spans="1:8" ht="15" customHeight="1">
      <c r="A519" s="283"/>
      <c r="B519" s="283"/>
      <c r="C519" s="283"/>
      <c r="D519" s="283"/>
      <c r="E519" s="283"/>
      <c r="F519" s="283"/>
      <c r="G519" s="284"/>
      <c r="H519" s="283"/>
    </row>
    <row r="520" spans="1:8" ht="15" customHeight="1">
      <c r="A520" s="276"/>
      <c r="B520" s="276"/>
      <c r="C520" s="276"/>
      <c r="D520" s="277"/>
      <c r="E520" s="276"/>
      <c r="F520" s="276"/>
      <c r="G520" s="278"/>
      <c r="H520" s="276"/>
    </row>
    <row r="521" spans="1:8" ht="15" customHeight="1">
      <c r="A521" s="242" t="s">
        <v>398</v>
      </c>
      <c r="B521" s="243" t="s">
        <v>399</v>
      </c>
      <c r="C521" s="23"/>
      <c r="D521" s="257"/>
      <c r="E521" s="22"/>
      <c r="F521" s="22"/>
      <c r="G521" s="92"/>
      <c r="H521" s="22"/>
    </row>
    <row r="522" spans="1:8" ht="25.5" customHeight="1">
      <c r="A522" s="244" t="s">
        <v>400</v>
      </c>
      <c r="B522" s="245">
        <f>'[9]MADRE BANCO'!$D$412</f>
        <v>0</v>
      </c>
      <c r="C522" s="246"/>
    </row>
    <row r="523" spans="1:8" ht="25.5" customHeight="1">
      <c r="A523" s="26" t="s">
        <v>401</v>
      </c>
      <c r="B523" s="245">
        <f>'[10]MADRE BANCO'!$D$428</f>
        <v>0</v>
      </c>
      <c r="C523" s="246"/>
      <c r="E523" s="273" t="s">
        <v>402</v>
      </c>
      <c r="F523" s="274"/>
      <c r="G523" s="275"/>
    </row>
    <row r="524" spans="1:8" ht="25.5" customHeight="1">
      <c r="A524" s="247" t="s">
        <v>7</v>
      </c>
      <c r="B524" s="245">
        <f>'[10]MADRE BANCO'!$D$428</f>
        <v>0</v>
      </c>
      <c r="C524" s="248"/>
      <c r="E524" s="258" t="e">
        <f>#REF!+#REF!+#REF!+#REF!+#REF!+#REF!+#REF!+#REF!+#REF!+#REF!+#REF!+#REF!+#REF!+#REF!+#REF!+#REF!+#REF!+#REF!+#REF!+#REF!+#REF!+#REF!+#REF!+#REF!+#REF!+#REF!+#REF!+#REF!+#REF!+#REF!+#REF!+#REF!+#REF!+#REF!+#REF!+#REF!+#REF!</f>
        <v>#REF!</v>
      </c>
      <c r="F524" s="259" t="s">
        <v>403</v>
      </c>
      <c r="G524" s="260"/>
    </row>
    <row r="525" spans="1:8" ht="25.5" customHeight="1">
      <c r="A525" s="249" t="s">
        <v>404</v>
      </c>
      <c r="B525" s="250">
        <f>'[10]MADRE BANCO'!$D$428</f>
        <v>0</v>
      </c>
      <c r="C525" s="248"/>
      <c r="E525" s="258" t="e">
        <f>#REF!+#REF!+#REF!+#REF!+#REF!+#REF!+#REF!+#REF!+#REF!+#REF!+#REF!+#REF!+#REF!+#REF!+#REF!+#REF!+#REF!+#REF!+#REF!+#REF!+#REF!+#REF!+#REF!+#REF!+#REF!+#REF!+#REF!+#REF!+#REF!+#REF!+#REF!+#REF!+#REF!+#REF!+#REF!+#REF!+#REF!</f>
        <v>#REF!</v>
      </c>
      <c r="F525" s="261" t="s">
        <v>405</v>
      </c>
      <c r="G525" s="260"/>
    </row>
    <row r="526" spans="1:8" ht="25.5" customHeight="1">
      <c r="A526" s="251" t="s">
        <v>9</v>
      </c>
      <c r="B526" s="245">
        <f>'[10]MADRE BANCO'!$D$428</f>
        <v>0</v>
      </c>
      <c r="C526" s="248"/>
      <c r="D526" s="10"/>
      <c r="E526" s="262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26" s="263" t="s">
        <v>406</v>
      </c>
      <c r="G526" s="264"/>
    </row>
    <row r="527" spans="1:8" ht="25.5" customHeight="1">
      <c r="A527" s="252" t="s">
        <v>407</v>
      </c>
      <c r="B527" s="253">
        <f>'[10]MADRE BANCO'!$D$428</f>
        <v>0</v>
      </c>
      <c r="C527" s="254"/>
      <c r="D527" s="10"/>
    </row>
    <row r="528" spans="1:8" ht="25.5" customHeight="1">
      <c r="A528" s="24"/>
      <c r="B528" s="220"/>
      <c r="C528" s="27"/>
      <c r="H528" s="256"/>
    </row>
    <row r="529" spans="1:8" ht="18.75" customHeight="1">
      <c r="A529" s="25"/>
      <c r="B529" s="27"/>
      <c r="C529" s="27"/>
      <c r="H529" s="256"/>
    </row>
    <row r="530" spans="1:8" ht="18.75" customHeight="1">
      <c r="A530" s="25"/>
      <c r="B530" s="27"/>
      <c r="C530" s="27"/>
      <c r="E530" s="27"/>
      <c r="F530" s="27"/>
      <c r="G530" s="265"/>
      <c r="H530" s="256"/>
    </row>
    <row r="531" spans="1:8" ht="18.75" customHeight="1">
      <c r="A531" s="25"/>
      <c r="B531" s="27"/>
      <c r="C531" s="27"/>
      <c r="E531" s="27"/>
      <c r="F531" s="27"/>
      <c r="G531" s="265"/>
      <c r="H531" s="256"/>
    </row>
    <row r="532" spans="1:8" ht="18.75" customHeight="1">
      <c r="A532" s="25"/>
      <c r="B532" s="27"/>
      <c r="C532" s="27"/>
      <c r="E532" s="27"/>
      <c r="F532" s="27"/>
      <c r="G532" s="265"/>
      <c r="H532" s="256"/>
    </row>
    <row r="533" spans="1:8" ht="18.75" customHeight="1">
      <c r="A533" s="25"/>
      <c r="B533" s="27"/>
      <c r="C533" s="27"/>
      <c r="D533" s="10"/>
      <c r="E533" s="27"/>
      <c r="F533" s="27"/>
      <c r="G533" s="265"/>
      <c r="H533" s="256"/>
    </row>
    <row r="534" spans="1:8" ht="18.75" customHeight="1">
      <c r="A534" s="25"/>
      <c r="B534" s="27"/>
      <c r="C534" s="27"/>
      <c r="D534" s="10"/>
      <c r="E534" s="27"/>
      <c r="F534" s="27"/>
      <c r="G534" s="265"/>
      <c r="H534" s="256"/>
    </row>
    <row r="535" spans="1:8" ht="18.75" customHeight="1">
      <c r="A535" s="25"/>
      <c r="B535" s="27"/>
      <c r="C535" s="27"/>
      <c r="D535" s="10"/>
      <c r="E535" s="27"/>
      <c r="F535" s="27"/>
      <c r="G535" s="265"/>
      <c r="H535" s="256"/>
    </row>
    <row r="536" spans="1:8" ht="18.75" customHeight="1">
      <c r="A536" s="25"/>
      <c r="B536" s="27"/>
      <c r="C536" s="27"/>
      <c r="D536" s="10"/>
      <c r="E536" s="27"/>
      <c r="F536" s="27"/>
      <c r="G536" s="265"/>
      <c r="H536" s="256"/>
    </row>
    <row r="537" spans="1:8" ht="18.75" customHeight="1">
      <c r="A537" s="25"/>
      <c r="B537" s="27"/>
      <c r="C537" s="27"/>
      <c r="D537" s="10"/>
      <c r="E537" s="27"/>
      <c r="F537" s="27"/>
      <c r="G537" s="265"/>
      <c r="H537" s="256"/>
    </row>
    <row r="538" spans="1:8" ht="18.75" customHeight="1">
      <c r="A538" s="25"/>
      <c r="B538" s="27"/>
      <c r="C538" s="27"/>
      <c r="D538" s="10"/>
      <c r="E538" s="27"/>
      <c r="F538" s="27"/>
      <c r="G538" s="265"/>
      <c r="H538" s="256"/>
    </row>
    <row r="539" spans="1:8" ht="18.75" customHeight="1">
      <c r="A539" s="25"/>
      <c r="B539" s="27"/>
      <c r="C539" s="27"/>
      <c r="D539" s="10"/>
      <c r="E539" s="27"/>
      <c r="F539" s="27"/>
      <c r="G539" s="265"/>
      <c r="H539" s="256"/>
    </row>
    <row r="540" spans="1:8" ht="18.75" customHeight="1">
      <c r="A540" s="25"/>
      <c r="B540" s="27"/>
      <c r="C540" s="27"/>
      <c r="D540" s="10"/>
      <c r="E540" s="27"/>
      <c r="F540" s="27"/>
      <c r="G540" s="265"/>
      <c r="H540" s="256"/>
    </row>
    <row r="541" spans="1:8" ht="18.75" customHeight="1">
      <c r="A541" s="25"/>
      <c r="B541" s="27"/>
      <c r="C541" s="27"/>
      <c r="D541" s="10"/>
      <c r="E541" s="27"/>
      <c r="F541" s="27"/>
      <c r="G541" s="265"/>
      <c r="H541" s="256"/>
    </row>
    <row r="542" spans="1:8" ht="18.75" customHeight="1">
      <c r="A542" s="25"/>
      <c r="B542" s="27"/>
      <c r="C542" s="27"/>
      <c r="D542" s="10"/>
      <c r="E542" s="27"/>
      <c r="F542" s="27"/>
      <c r="G542" s="265"/>
      <c r="H542" s="256"/>
    </row>
    <row r="543" spans="1:8" ht="18.75" customHeight="1">
      <c r="A543" s="25"/>
      <c r="B543" s="27"/>
      <c r="C543" s="27"/>
      <c r="D543" s="266"/>
      <c r="E543" s="27" t="s">
        <v>249</v>
      </c>
      <c r="F543" s="27"/>
      <c r="G543" s="265"/>
      <c r="H543" s="256"/>
    </row>
    <row r="544" spans="1:8" ht="18.75" customHeight="1">
      <c r="A544" s="25"/>
      <c r="B544" s="27"/>
      <c r="C544" s="27"/>
      <c r="D544" s="10"/>
      <c r="E544" s="27"/>
      <c r="F544" s="27"/>
      <c r="G544" s="265"/>
      <c r="H544" s="256"/>
    </row>
    <row r="545" spans="1:8" ht="18.75" customHeight="1">
      <c r="A545" s="25"/>
      <c r="B545" s="27"/>
      <c r="C545" s="27"/>
      <c r="D545" s="10"/>
      <c r="E545" s="27"/>
      <c r="F545" s="27"/>
      <c r="G545" s="265"/>
      <c r="H545" s="256"/>
    </row>
    <row r="546" spans="1:8" ht="18.75" customHeight="1">
      <c r="A546" s="25"/>
      <c r="B546" s="27"/>
      <c r="C546" s="27"/>
      <c r="D546" s="10"/>
      <c r="E546" s="27"/>
      <c r="F546" s="27"/>
      <c r="G546" s="265"/>
      <c r="H546" s="256"/>
    </row>
    <row r="547" spans="1:8" ht="18.75" customHeight="1">
      <c r="A547" s="25"/>
      <c r="B547" s="27"/>
      <c r="C547" s="27"/>
      <c r="D547" s="10"/>
      <c r="E547" s="27"/>
      <c r="F547" s="27"/>
      <c r="G547" s="265"/>
      <c r="H547" s="256"/>
    </row>
    <row r="548" spans="1:8" ht="18.75" customHeight="1">
      <c r="A548" s="25"/>
      <c r="B548" s="27"/>
      <c r="C548" s="27"/>
      <c r="D548" s="10"/>
      <c r="E548" s="27"/>
      <c r="F548" s="27"/>
      <c r="G548" s="265"/>
      <c r="H548" s="256"/>
    </row>
    <row r="549" spans="1:8" ht="18.75" customHeight="1">
      <c r="A549" s="25"/>
      <c r="B549" s="27"/>
      <c r="C549" s="27"/>
      <c r="D549" s="10"/>
      <c r="E549" s="27"/>
      <c r="F549" s="27"/>
      <c r="G549" s="265"/>
      <c r="H549" s="256"/>
    </row>
    <row r="550" spans="1:8" ht="18.75" customHeight="1">
      <c r="A550" s="25"/>
      <c r="B550" s="27"/>
      <c r="C550" s="27"/>
      <c r="D550" s="10"/>
      <c r="E550" s="27"/>
      <c r="F550" s="27"/>
      <c r="G550" s="265"/>
      <c r="H550" s="256"/>
    </row>
    <row r="551" spans="1:8" ht="18.75" customHeight="1">
      <c r="A551" s="25"/>
      <c r="B551" s="27"/>
      <c r="C551" s="27"/>
      <c r="D551" s="10"/>
      <c r="E551" s="27"/>
      <c r="F551" s="27"/>
      <c r="G551" s="265"/>
      <c r="H551" s="256"/>
    </row>
    <row r="552" spans="1:8" ht="18.75" customHeight="1">
      <c r="A552" s="25"/>
      <c r="B552" s="27"/>
      <c r="C552" s="27"/>
      <c r="D552" s="10"/>
      <c r="E552" s="27"/>
      <c r="F552" s="27"/>
      <c r="G552" s="265"/>
      <c r="H552" s="256"/>
    </row>
    <row r="553" spans="1:8" ht="18.75" customHeight="1">
      <c r="A553" s="25"/>
      <c r="B553" s="27"/>
      <c r="C553" s="27"/>
      <c r="D553" s="10"/>
      <c r="E553" s="27"/>
      <c r="F553" s="27"/>
      <c r="G553" s="265"/>
      <c r="H553" s="256"/>
    </row>
    <row r="554" spans="1:8" ht="18.75" customHeight="1">
      <c r="A554" s="25"/>
      <c r="B554" s="27"/>
      <c r="C554" s="27"/>
      <c r="D554" s="10"/>
      <c r="E554" s="27"/>
      <c r="F554" s="27"/>
      <c r="G554" s="265"/>
      <c r="H554" s="256"/>
    </row>
    <row r="555" spans="1:8" ht="12.75" customHeight="1">
      <c r="A555" s="25"/>
      <c r="B555" s="255"/>
      <c r="C555" s="256"/>
      <c r="D555" s="267"/>
      <c r="E555" s="256"/>
      <c r="F555" s="256"/>
      <c r="G555" s="265"/>
      <c r="H555" s="256"/>
    </row>
    <row r="556" spans="1:8" ht="12.75" customHeight="1">
      <c r="A556" s="25"/>
      <c r="B556" s="255"/>
      <c r="C556" s="256"/>
      <c r="D556" s="268"/>
      <c r="E556" s="256"/>
      <c r="F556" s="256"/>
      <c r="G556" s="265"/>
      <c r="H556" s="256"/>
    </row>
    <row r="557" spans="1:8" ht="12.75" customHeight="1">
      <c r="A557" s="25"/>
      <c r="B557" s="256"/>
      <c r="C557" s="255"/>
      <c r="D557" s="267"/>
      <c r="E557" s="256"/>
      <c r="F557" s="256"/>
      <c r="G557" s="265"/>
      <c r="H557" s="256"/>
    </row>
  </sheetData>
  <autoFilter ref="A5:S121"/>
  <mergeCells count="142">
    <mergeCell ref="A4:H4"/>
    <mergeCell ref="A16:H16"/>
    <mergeCell ref="A17:H17"/>
    <mergeCell ref="A18:H18"/>
    <mergeCell ref="A19:H19"/>
    <mergeCell ref="A25:H25"/>
    <mergeCell ref="A26:H26"/>
    <mergeCell ref="A27:H27"/>
    <mergeCell ref="A28:H28"/>
    <mergeCell ref="A33:H33"/>
    <mergeCell ref="A34:H34"/>
    <mergeCell ref="A35:H35"/>
    <mergeCell ref="A36:H36"/>
    <mergeCell ref="A55:H55"/>
    <mergeCell ref="A60:H60"/>
    <mergeCell ref="A61:H61"/>
    <mergeCell ref="A62:H62"/>
    <mergeCell ref="A63:H63"/>
    <mergeCell ref="A67:H67"/>
    <mergeCell ref="A68:H68"/>
    <mergeCell ref="A69:H69"/>
    <mergeCell ref="A70:H70"/>
    <mergeCell ref="A74:H74"/>
    <mergeCell ref="A75:H75"/>
    <mergeCell ref="A76:H76"/>
    <mergeCell ref="I76:S76"/>
    <mergeCell ref="A77:H77"/>
    <mergeCell ref="A82:H82"/>
    <mergeCell ref="A83:H83"/>
    <mergeCell ref="A84:H84"/>
    <mergeCell ref="A85:H85"/>
    <mergeCell ref="I86:S86"/>
    <mergeCell ref="A89:H89"/>
    <mergeCell ref="A90:H90"/>
    <mergeCell ref="A91:H91"/>
    <mergeCell ref="A92:H92"/>
    <mergeCell ref="A96:H96"/>
    <mergeCell ref="A97:H97"/>
    <mergeCell ref="A98:H98"/>
    <mergeCell ref="A99:H99"/>
    <mergeCell ref="A109:H109"/>
    <mergeCell ref="A110:H110"/>
    <mergeCell ref="A111:H111"/>
    <mergeCell ref="A112:H112"/>
    <mergeCell ref="A117:H117"/>
    <mergeCell ref="A118:H118"/>
    <mergeCell ref="A119:H119"/>
    <mergeCell ref="A120:H120"/>
    <mergeCell ref="A129:H129"/>
    <mergeCell ref="A130:H130"/>
    <mergeCell ref="A131:H131"/>
    <mergeCell ref="A132:H132"/>
    <mergeCell ref="A141:H141"/>
    <mergeCell ref="A142:H142"/>
    <mergeCell ref="A143:H143"/>
    <mergeCell ref="A144:H144"/>
    <mergeCell ref="A154:H154"/>
    <mergeCell ref="A155:H155"/>
    <mergeCell ref="A156:H156"/>
    <mergeCell ref="A157:H157"/>
    <mergeCell ref="A161:H161"/>
    <mergeCell ref="A162:H162"/>
    <mergeCell ref="A163:H163"/>
    <mergeCell ref="A164:H164"/>
    <mergeCell ref="A169:H169"/>
    <mergeCell ref="A170:H170"/>
    <mergeCell ref="A171:H171"/>
    <mergeCell ref="A172:H172"/>
    <mergeCell ref="A176:H176"/>
    <mergeCell ref="A177:H177"/>
    <mergeCell ref="A178:H178"/>
    <mergeCell ref="A179:H179"/>
    <mergeCell ref="A183:H183"/>
    <mergeCell ref="A184:H184"/>
    <mergeCell ref="A185:H185"/>
    <mergeCell ref="A186:H186"/>
    <mergeCell ref="A208:H208"/>
    <mergeCell ref="A209:H209"/>
    <mergeCell ref="A210:H210"/>
    <mergeCell ref="A211:H211"/>
    <mergeCell ref="A238:H238"/>
    <mergeCell ref="A239:H239"/>
    <mergeCell ref="A240:H240"/>
    <mergeCell ref="A241:H241"/>
    <mergeCell ref="A248:H248"/>
    <mergeCell ref="A249:H249"/>
    <mergeCell ref="A250:H250"/>
    <mergeCell ref="A251:H251"/>
    <mergeCell ref="A257:H257"/>
    <mergeCell ref="A258:H258"/>
    <mergeCell ref="A259:H259"/>
    <mergeCell ref="A260:H260"/>
    <mergeCell ref="A265:H265"/>
    <mergeCell ref="A271:H271"/>
    <mergeCell ref="A281:H281"/>
    <mergeCell ref="A297:H297"/>
    <mergeCell ref="A298:H298"/>
    <mergeCell ref="A299:H299"/>
    <mergeCell ref="A300:H300"/>
    <mergeCell ref="A306:H306"/>
    <mergeCell ref="A307:H307"/>
    <mergeCell ref="A308:H308"/>
    <mergeCell ref="A309:H309"/>
    <mergeCell ref="A313:H313"/>
    <mergeCell ref="A314:H314"/>
    <mergeCell ref="A315:H315"/>
    <mergeCell ref="A316:H316"/>
    <mergeCell ref="A335:H335"/>
    <mergeCell ref="A340:H340"/>
    <mergeCell ref="A352:H352"/>
    <mergeCell ref="A358:H358"/>
    <mergeCell ref="A378:H378"/>
    <mergeCell ref="A389:H389"/>
    <mergeCell ref="A394:H394"/>
    <mergeCell ref="A395:H395"/>
    <mergeCell ref="A409:H409"/>
    <mergeCell ref="A410:H410"/>
    <mergeCell ref="A411:H411"/>
    <mergeCell ref="A412:H412"/>
    <mergeCell ref="A418:H418"/>
    <mergeCell ref="A419:H419"/>
    <mergeCell ref="A420:H420"/>
    <mergeCell ref="A421:H421"/>
    <mergeCell ref="A433:H433"/>
    <mergeCell ref="A434:H434"/>
    <mergeCell ref="A435:H435"/>
    <mergeCell ref="A436:H436"/>
    <mergeCell ref="A449:H449"/>
    <mergeCell ref="A455:H455"/>
    <mergeCell ref="A456:H456"/>
    <mergeCell ref="A457:H457"/>
    <mergeCell ref="A458:H458"/>
    <mergeCell ref="E523:G523"/>
    <mergeCell ref="A500:H500"/>
    <mergeCell ref="A510:H510"/>
    <mergeCell ref="A511:H511"/>
    <mergeCell ref="A512:H512"/>
    <mergeCell ref="A513:H513"/>
    <mergeCell ref="A517:H517"/>
    <mergeCell ref="A518:H518"/>
    <mergeCell ref="A519:H519"/>
    <mergeCell ref="A520:H520"/>
  </mergeCells>
  <conditionalFormatting sqref="B522:B527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rintOptions verticalCentered="1"/>
  <pageMargins left="0.25" right="0.25" top="0.75" bottom="0.75" header="0.29861111111111099" footer="0.29861111111111099"/>
  <pageSetup scale="75" fitToHeight="0" orientation="landscape" horizontalDpi="300" verticalDpi="300" r:id="rId1"/>
  <headerFooter alignWithMargins="0">
    <oddFooter>&amp;C&amp;12&amp;BPagina &amp;P de &amp;N&amp;K09-017
1ER QUINCENA DE JUNIO DE 2023</oddFooter>
  </headerFooter>
  <rowBreaks count="60" manualBreakCount="60">
    <brk id="15" max="16383" man="1"/>
    <brk id="24" max="16383" man="1"/>
    <brk id="32" max="16383" man="1"/>
    <brk id="41" max="16383" man="1"/>
    <brk id="41" max="16383" man="1"/>
    <brk id="59" max="16383" man="1"/>
    <brk id="59" max="16383" man="1"/>
    <brk id="73" max="16383" man="1"/>
    <brk id="88" max="16383" man="1"/>
    <brk id="95" max="16383" man="1"/>
    <brk id="108" max="16383" man="1"/>
    <brk id="116" max="16383" man="1"/>
    <brk id="128" max="16383" man="1"/>
    <brk id="140" max="16383" man="1"/>
    <brk id="153" max="16383" man="1"/>
    <brk id="160" max="16383" man="1"/>
    <brk id="168" max="16383" man="1"/>
    <brk id="168" max="16383" man="1"/>
    <brk id="175" max="16383" man="1"/>
    <brk id="182" max="16383" man="1"/>
    <brk id="182" max="16383" man="1"/>
    <brk id="207" max="16383" man="1"/>
    <brk id="207" max="16383" man="1"/>
    <brk id="215" max="16383" man="1"/>
    <brk id="215" max="16383" man="1"/>
    <brk id="237" max="16383" man="1"/>
    <brk id="237" max="16383" man="1"/>
    <brk id="247" max="16383" man="1"/>
    <brk id="247" max="16383" man="1"/>
    <brk id="256" max="16383" man="1"/>
    <brk id="256" max="16383" man="1"/>
    <brk id="264" max="16383" man="1"/>
    <brk id="264" max="16383" man="1"/>
    <brk id="270" max="16383" man="1"/>
    <brk id="270" max="16383" man="1"/>
    <brk id="280" max="16383" man="1"/>
    <brk id="280" max="16383" man="1"/>
    <brk id="296" max="16383" man="1"/>
    <brk id="305" max="16383" man="1"/>
    <brk id="312" max="16383" man="1"/>
    <brk id="334" max="16383" man="1"/>
    <brk id="339" max="16383" man="1"/>
    <brk id="351" max="16383" man="1"/>
    <brk id="357" max="16383" man="1"/>
    <brk id="369" max="16383" man="1"/>
    <brk id="377" max="16383" man="1"/>
    <brk id="388" max="16383" man="1"/>
    <brk id="393" max="16383" man="1"/>
    <brk id="408" max="16383" man="1"/>
    <brk id="417" max="16383" man="1"/>
    <brk id="432" max="16383" man="1"/>
    <brk id="448" max="16383" man="1"/>
    <brk id="454" max="16383" man="1"/>
    <brk id="467" max="16383" man="1"/>
    <brk id="473" max="16383" man="1"/>
    <brk id="499" max="16383" man="1"/>
    <brk id="509" max="16383" man="1"/>
    <brk id="516" max="16383" man="1"/>
    <brk id="527" max="16383" man="1"/>
    <brk id="5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MADRE</vt:lpstr>
      <vt:lpstr>MADRE!Área_de_impresión</vt:lpstr>
    </vt:vector>
  </TitlesOfParts>
  <Company>ayuntamiento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</cp:lastModifiedBy>
  <cp:lastPrinted>2023-04-05T18:41:00Z</cp:lastPrinted>
  <dcterms:created xsi:type="dcterms:W3CDTF">2010-04-29T16:52:00Z</dcterms:created>
  <dcterms:modified xsi:type="dcterms:W3CDTF">2024-09-25T20:07:07Z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CB4767D114124214B7F7750B66A76E39</vt:lpwstr>
  </property>
  <property fmtid="{D5CDD505-2E9C-101B-9397-08002B2CF9AE}" pid="3" name="KSOProductBuildVer">
    <vt:lpwstr>2058-11.2.0.11537</vt:lpwstr>
  </property>
</Properties>
</file>