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5440" windowHeight="15840" tabRatio="530"/>
  </bookViews>
  <sheets>
    <sheet name="MADRE BANCO" sheetId="6" r:id="rId1"/>
    <sheet name="EVENTUALES" sheetId="7" r:id="rId2"/>
    <sheet name="EVENTUALES SP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" hidden="1">EVENTUALES!$A$5:$L$27</definedName>
    <definedName name="_xlnm._FilterDatabase" localSheetId="2" hidden="1">'EVENTUALES SP'!$A$5:$L$38</definedName>
    <definedName name="_xlnm._FilterDatabase" localSheetId="0" hidden="1">'MADRE BANCO'!$A$6:$HG$186</definedName>
    <definedName name="_xlnm.Print_Area" localSheetId="0">'MADRE BANCO'!$A$1:$I$410</definedName>
  </definedNames>
  <calcPr calcId="124519"/>
</workbook>
</file>

<file path=xl/calcChain.xml><?xml version="1.0" encoding="utf-8"?>
<calcChain xmlns="http://schemas.openxmlformats.org/spreadsheetml/2006/main">
  <c r="G29" i="9"/>
  <c r="L29" s="1"/>
  <c r="G23" i="7" l="1"/>
  <c r="E191" i="6"/>
  <c r="D191"/>
  <c r="G18" i="9"/>
  <c r="L18" l="1"/>
  <c r="D152" i="6" l="1"/>
  <c r="I142"/>
  <c r="L23" i="7" l="1"/>
  <c r="H52" i="6"/>
  <c r="I52" s="1"/>
  <c r="J37" i="9" l="1"/>
  <c r="K37"/>
  <c r="I399" i="6" l="1"/>
  <c r="I156"/>
  <c r="D7" l="1"/>
  <c r="E7"/>
  <c r="D8"/>
  <c r="E8"/>
  <c r="D9"/>
  <c r="E9"/>
  <c r="D10"/>
  <c r="E10"/>
  <c r="D11"/>
  <c r="E11"/>
  <c r="D12"/>
  <c r="E12"/>
  <c r="D13"/>
  <c r="E13"/>
  <c r="D14"/>
  <c r="E14"/>
  <c r="D15"/>
  <c r="E15"/>
  <c r="F16"/>
  <c r="F17" s="1"/>
  <c r="H16"/>
  <c r="H17" s="1"/>
  <c r="G17"/>
  <c r="D19"/>
  <c r="D20" s="1"/>
  <c r="D21" s="1"/>
  <c r="E19"/>
  <c r="E20" s="1"/>
  <c r="E21" s="1"/>
  <c r="F20"/>
  <c r="F21" s="1"/>
  <c r="G20"/>
  <c r="G21" s="1"/>
  <c r="H20"/>
  <c r="H21" s="1"/>
  <c r="D23"/>
  <c r="E23"/>
  <c r="D24"/>
  <c r="E24"/>
  <c r="F25"/>
  <c r="F26" s="1"/>
  <c r="G25"/>
  <c r="G26" s="1"/>
  <c r="H25"/>
  <c r="H26" s="1"/>
  <c r="D28"/>
  <c r="E28"/>
  <c r="D29"/>
  <c r="E29"/>
  <c r="D30"/>
  <c r="E30"/>
  <c r="F31"/>
  <c r="F32" s="1"/>
  <c r="G31"/>
  <c r="G32" s="1"/>
  <c r="H31"/>
  <c r="H32" s="1"/>
  <c r="D34"/>
  <c r="E34"/>
  <c r="D35"/>
  <c r="E35"/>
  <c r="D36"/>
  <c r="I36" s="1"/>
  <c r="D37"/>
  <c r="E37"/>
  <c r="D38"/>
  <c r="E38"/>
  <c r="D39"/>
  <c r="I39" s="1"/>
  <c r="F40"/>
  <c r="F41" s="1"/>
  <c r="G40"/>
  <c r="G41" s="1"/>
  <c r="H40"/>
  <c r="H41" s="1"/>
  <c r="D43"/>
  <c r="E43"/>
  <c r="E44" s="1"/>
  <c r="E45" s="1"/>
  <c r="C44"/>
  <c r="F44"/>
  <c r="F45" s="1"/>
  <c r="G44"/>
  <c r="G45" s="1"/>
  <c r="H44"/>
  <c r="H45" s="1"/>
  <c r="D49"/>
  <c r="D50" s="1"/>
  <c r="E49"/>
  <c r="E50" s="1"/>
  <c r="F49"/>
  <c r="F50" s="1"/>
  <c r="G49"/>
  <c r="G50" s="1"/>
  <c r="H49"/>
  <c r="H50" s="1"/>
  <c r="I49"/>
  <c r="D53"/>
  <c r="E54"/>
  <c r="E55" s="1"/>
  <c r="F54"/>
  <c r="F55" s="1"/>
  <c r="G54"/>
  <c r="G55" s="1"/>
  <c r="D57"/>
  <c r="D58" s="1"/>
  <c r="D59" s="1"/>
  <c r="E57"/>
  <c r="E58" s="1"/>
  <c r="E59" s="1"/>
  <c r="F58"/>
  <c r="F59" s="1"/>
  <c r="G58"/>
  <c r="G59" s="1"/>
  <c r="H58"/>
  <c r="H59" s="1"/>
  <c r="E62"/>
  <c r="E63" s="1"/>
  <c r="F62"/>
  <c r="F63" s="1"/>
  <c r="G62"/>
  <c r="G63" s="1"/>
  <c r="D65"/>
  <c r="D61" s="1"/>
  <c r="E65"/>
  <c r="D66"/>
  <c r="E66"/>
  <c r="D67"/>
  <c r="D68"/>
  <c r="D69"/>
  <c r="D70"/>
  <c r="D71"/>
  <c r="E71"/>
  <c r="F72"/>
  <c r="F73" s="1"/>
  <c r="G72"/>
  <c r="G73" s="1"/>
  <c r="D75"/>
  <c r="E76"/>
  <c r="E77" s="1"/>
  <c r="F76"/>
  <c r="F77" s="1"/>
  <c r="G76"/>
  <c r="G77" s="1"/>
  <c r="H76"/>
  <c r="H77" s="1"/>
  <c r="D80"/>
  <c r="E80"/>
  <c r="E85" s="1"/>
  <c r="E86" s="1"/>
  <c r="D81"/>
  <c r="D82"/>
  <c r="I82" s="1"/>
  <c r="D83"/>
  <c r="I83" s="1"/>
  <c r="D84"/>
  <c r="F85"/>
  <c r="F86" s="1"/>
  <c r="G85"/>
  <c r="G86" s="1"/>
  <c r="D88"/>
  <c r="D89"/>
  <c r="E89"/>
  <c r="D90"/>
  <c r="D91"/>
  <c r="D92"/>
  <c r="D93"/>
  <c r="F94"/>
  <c r="F95" s="1"/>
  <c r="G94"/>
  <c r="G95" s="1"/>
  <c r="D97"/>
  <c r="D98"/>
  <c r="E98"/>
  <c r="D99"/>
  <c r="E99"/>
  <c r="D100"/>
  <c r="E100"/>
  <c r="D101"/>
  <c r="D102"/>
  <c r="E102"/>
  <c r="F103"/>
  <c r="F104" s="1"/>
  <c r="G103"/>
  <c r="G104" s="1"/>
  <c r="D106"/>
  <c r="D107"/>
  <c r="E108"/>
  <c r="E109" s="1"/>
  <c r="F108"/>
  <c r="F109" s="1"/>
  <c r="G108"/>
  <c r="G109" s="1"/>
  <c r="D111"/>
  <c r="E111"/>
  <c r="E113" s="1"/>
  <c r="E114" s="1"/>
  <c r="D112"/>
  <c r="F113"/>
  <c r="F114" s="1"/>
  <c r="G113"/>
  <c r="G114" s="1"/>
  <c r="D116"/>
  <c r="E116"/>
  <c r="E117" s="1"/>
  <c r="E118" s="1"/>
  <c r="F117"/>
  <c r="F118" s="1"/>
  <c r="G117"/>
  <c r="G118" s="1"/>
  <c r="I120"/>
  <c r="D121"/>
  <c r="D122" s="1"/>
  <c r="E121"/>
  <c r="E122" s="1"/>
  <c r="F121"/>
  <c r="F122" s="1"/>
  <c r="G121"/>
  <c r="G122" s="1"/>
  <c r="H121"/>
  <c r="H122" s="1"/>
  <c r="D124"/>
  <c r="E124"/>
  <c r="D125"/>
  <c r="E125"/>
  <c r="D126"/>
  <c r="D127"/>
  <c r="E127"/>
  <c r="D128"/>
  <c r="D129"/>
  <c r="E129"/>
  <c r="F130"/>
  <c r="F131" s="1"/>
  <c r="G130"/>
  <c r="G131" s="1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3"/>
  <c r="E143"/>
  <c r="F144"/>
  <c r="F145" s="1"/>
  <c r="G144"/>
  <c r="G145" s="1"/>
  <c r="D147"/>
  <c r="I147" s="1"/>
  <c r="E148"/>
  <c r="E149" s="1"/>
  <c r="F148"/>
  <c r="F149" s="1"/>
  <c r="G148"/>
  <c r="G149" s="1"/>
  <c r="H148"/>
  <c r="H149" s="1"/>
  <c r="D153"/>
  <c r="D154"/>
  <c r="D155"/>
  <c r="D157"/>
  <c r="D158"/>
  <c r="D159"/>
  <c r="D160"/>
  <c r="D161"/>
  <c r="D162"/>
  <c r="D163"/>
  <c r="D164"/>
  <c r="E164"/>
  <c r="D165"/>
  <c r="F166"/>
  <c r="F167" s="1"/>
  <c r="G166"/>
  <c r="G167" s="1"/>
  <c r="D169"/>
  <c r="D170"/>
  <c r="E170"/>
  <c r="E172" s="1"/>
  <c r="E173" s="1"/>
  <c r="D171"/>
  <c r="F172"/>
  <c r="F173" s="1"/>
  <c r="G172"/>
  <c r="D175"/>
  <c r="E175"/>
  <c r="E178" s="1"/>
  <c r="E179" s="1"/>
  <c r="D176"/>
  <c r="D177"/>
  <c r="F178"/>
  <c r="F179" s="1"/>
  <c r="G178"/>
  <c r="G179" s="1"/>
  <c r="D181"/>
  <c r="E181"/>
  <c r="D182"/>
  <c r="E182"/>
  <c r="D183"/>
  <c r="E183"/>
  <c r="F184"/>
  <c r="F185" s="1"/>
  <c r="G184"/>
  <c r="G185" s="1"/>
  <c r="D188"/>
  <c r="E188"/>
  <c r="D189"/>
  <c r="E189"/>
  <c r="D190"/>
  <c r="E190"/>
  <c r="D192"/>
  <c r="E192"/>
  <c r="F193"/>
  <c r="F194" s="1"/>
  <c r="G193"/>
  <c r="G194" s="1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F205"/>
  <c r="F206" s="1"/>
  <c r="G205"/>
  <c r="G206" s="1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F222"/>
  <c r="G222"/>
  <c r="G223" s="1"/>
  <c r="F223"/>
  <c r="D225"/>
  <c r="E225"/>
  <c r="D226"/>
  <c r="E226"/>
  <c r="D227"/>
  <c r="E227"/>
  <c r="F228"/>
  <c r="F229" s="1"/>
  <c r="G228"/>
  <c r="G229" s="1"/>
  <c r="I231"/>
  <c r="D232"/>
  <c r="D233" s="1"/>
  <c r="E232"/>
  <c r="E233" s="1"/>
  <c r="F232"/>
  <c r="F233" s="1"/>
  <c r="G232"/>
  <c r="G233" s="1"/>
  <c r="H232"/>
  <c r="H233" s="1"/>
  <c r="D235"/>
  <c r="E235"/>
  <c r="D236"/>
  <c r="E236"/>
  <c r="D237"/>
  <c r="E237"/>
  <c r="D238"/>
  <c r="E238"/>
  <c r="D239"/>
  <c r="D241"/>
  <c r="E241"/>
  <c r="D242"/>
  <c r="E242"/>
  <c r="D243"/>
  <c r="D244"/>
  <c r="D245"/>
  <c r="D246"/>
  <c r="D247"/>
  <c r="F248"/>
  <c r="F249" s="1"/>
  <c r="G248"/>
  <c r="G249" s="1"/>
  <c r="D252"/>
  <c r="E252"/>
  <c r="E253" s="1"/>
  <c r="E254" s="1"/>
  <c r="F253"/>
  <c r="F254" s="1"/>
  <c r="G253"/>
  <c r="G254" s="1"/>
  <c r="D256"/>
  <c r="E256"/>
  <c r="D257"/>
  <c r="E257"/>
  <c r="D258"/>
  <c r="E258"/>
  <c r="D259"/>
  <c r="D260"/>
  <c r="D261"/>
  <c r="D262"/>
  <c r="F263"/>
  <c r="F264" s="1"/>
  <c r="G263"/>
  <c r="G264" s="1"/>
  <c r="D266"/>
  <c r="E266"/>
  <c r="D267"/>
  <c r="E267"/>
  <c r="D268"/>
  <c r="F269"/>
  <c r="F270" s="1"/>
  <c r="G269"/>
  <c r="G270" s="1"/>
  <c r="D272"/>
  <c r="D273"/>
  <c r="D274"/>
  <c r="D275"/>
  <c r="D276"/>
  <c r="D277"/>
  <c r="D278"/>
  <c r="D279"/>
  <c r="D280"/>
  <c r="D281"/>
  <c r="F281"/>
  <c r="F289" s="1"/>
  <c r="F290" s="1"/>
  <c r="D282"/>
  <c r="E282"/>
  <c r="E289" s="1"/>
  <c r="E290" s="1"/>
  <c r="D283"/>
  <c r="D284"/>
  <c r="D285"/>
  <c r="D286"/>
  <c r="D288"/>
  <c r="G289"/>
  <c r="G290" s="1"/>
  <c r="D292"/>
  <c r="E292"/>
  <c r="D293"/>
  <c r="D294"/>
  <c r="D295"/>
  <c r="D296"/>
  <c r="D297"/>
  <c r="E297"/>
  <c r="D298"/>
  <c r="D299"/>
  <c r="E299"/>
  <c r="F300"/>
  <c r="F301" s="1"/>
  <c r="G300"/>
  <c r="G301" s="1"/>
  <c r="D303"/>
  <c r="D304" s="1"/>
  <c r="D305" s="1"/>
  <c r="E304"/>
  <c r="F304"/>
  <c r="F305" s="1"/>
  <c r="G304"/>
  <c r="G305" s="1"/>
  <c r="E305"/>
  <c r="D308"/>
  <c r="E308"/>
  <c r="D287"/>
  <c r="D309"/>
  <c r="E309"/>
  <c r="D310"/>
  <c r="D311"/>
  <c r="D312"/>
  <c r="E312"/>
  <c r="D313"/>
  <c r="E313"/>
  <c r="D314"/>
  <c r="F315"/>
  <c r="F316" s="1"/>
  <c r="G315"/>
  <c r="G316" s="1"/>
  <c r="D318"/>
  <c r="E318"/>
  <c r="E321" s="1"/>
  <c r="E322" s="1"/>
  <c r="D319"/>
  <c r="D320"/>
  <c r="F321"/>
  <c r="F322" s="1"/>
  <c r="G321"/>
  <c r="G322" s="1"/>
  <c r="D324"/>
  <c r="E324"/>
  <c r="D325"/>
  <c r="D326"/>
  <c r="E326"/>
  <c r="D327"/>
  <c r="D328"/>
  <c r="D329"/>
  <c r="D330"/>
  <c r="D331"/>
  <c r="F332"/>
  <c r="F333" s="1"/>
  <c r="G332"/>
  <c r="G333" s="1"/>
  <c r="D335"/>
  <c r="E335"/>
  <c r="D336"/>
  <c r="E336"/>
  <c r="D337"/>
  <c r="D338"/>
  <c r="D339"/>
  <c r="D340"/>
  <c r="D341"/>
  <c r="D342"/>
  <c r="D343"/>
  <c r="F344"/>
  <c r="F345" s="1"/>
  <c r="G344"/>
  <c r="G345" s="1"/>
  <c r="D347"/>
  <c r="D348"/>
  <c r="E349"/>
  <c r="E350" s="1"/>
  <c r="F349"/>
  <c r="F350" s="1"/>
  <c r="G349"/>
  <c r="G350" s="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E393"/>
  <c r="E394" s="1"/>
  <c r="F393"/>
  <c r="F394" s="1"/>
  <c r="G393"/>
  <c r="G394" s="1"/>
  <c r="D396"/>
  <c r="D397"/>
  <c r="D398"/>
  <c r="D400"/>
  <c r="D401"/>
  <c r="D402"/>
  <c r="I402" s="1"/>
  <c r="D403"/>
  <c r="D404"/>
  <c r="E405"/>
  <c r="E406" s="1"/>
  <c r="F405"/>
  <c r="F406" s="1"/>
  <c r="G405"/>
  <c r="G406" s="1"/>
  <c r="D408"/>
  <c r="I318" l="1"/>
  <c r="D62"/>
  <c r="D393"/>
  <c r="D394" s="1"/>
  <c r="E300"/>
  <c r="E301" s="1"/>
  <c r="E184"/>
  <c r="E185" s="1"/>
  <c r="D31"/>
  <c r="D32" s="1"/>
  <c r="I13"/>
  <c r="I12"/>
  <c r="I8"/>
  <c r="E228"/>
  <c r="E229" s="1"/>
  <c r="I133"/>
  <c r="I38"/>
  <c r="I14"/>
  <c r="E72"/>
  <c r="E73" s="1"/>
  <c r="I37"/>
  <c r="E40"/>
  <c r="E41" s="1"/>
  <c r="I34"/>
  <c r="I15"/>
  <c r="I7"/>
  <c r="D263"/>
  <c r="D264" s="1"/>
  <c r="D148"/>
  <c r="D149" s="1"/>
  <c r="D103"/>
  <c r="D104" s="1"/>
  <c r="E269"/>
  <c r="E270" s="1"/>
  <c r="D178"/>
  <c r="D179" s="1"/>
  <c r="I57"/>
  <c r="E31"/>
  <c r="E32" s="1"/>
  <c r="E25"/>
  <c r="E26" s="1"/>
  <c r="I23"/>
  <c r="E344"/>
  <c r="E345" s="1"/>
  <c r="I403"/>
  <c r="I372"/>
  <c r="I359"/>
  <c r="I338"/>
  <c r="I214"/>
  <c r="I197"/>
  <c r="I408"/>
  <c r="I401"/>
  <c r="I389"/>
  <c r="I384"/>
  <c r="I380"/>
  <c r="I375"/>
  <c r="I371"/>
  <c r="I365"/>
  <c r="I354"/>
  <c r="I341"/>
  <c r="I326"/>
  <c r="I313"/>
  <c r="I311"/>
  <c r="I294"/>
  <c r="I284"/>
  <c r="I281"/>
  <c r="I267"/>
  <c r="D269"/>
  <c r="D270" s="1"/>
  <c r="I262"/>
  <c r="I236"/>
  <c r="D248"/>
  <c r="D249" s="1"/>
  <c r="I221"/>
  <c r="I215"/>
  <c r="I203"/>
  <c r="I152"/>
  <c r="I369"/>
  <c r="I158"/>
  <c r="H130"/>
  <c r="H131" s="1"/>
  <c r="I377"/>
  <c r="I370"/>
  <c r="I355"/>
  <c r="I329"/>
  <c r="I319"/>
  <c r="I275"/>
  <c r="I136"/>
  <c r="I102"/>
  <c r="I98"/>
  <c r="I92"/>
  <c r="I69"/>
  <c r="I343"/>
  <c r="I160"/>
  <c r="D108"/>
  <c r="D109" s="1"/>
  <c r="I107"/>
  <c r="I398"/>
  <c r="I387"/>
  <c r="I379"/>
  <c r="I360"/>
  <c r="I268"/>
  <c r="I237"/>
  <c r="I400"/>
  <c r="I390"/>
  <c r="I383"/>
  <c r="I366"/>
  <c r="I356"/>
  <c r="I353"/>
  <c r="I340"/>
  <c r="I325"/>
  <c r="I308"/>
  <c r="D315"/>
  <c r="D316" s="1"/>
  <c r="I297"/>
  <c r="I288"/>
  <c r="E263"/>
  <c r="E264" s="1"/>
  <c r="I247"/>
  <c r="I240"/>
  <c r="E193"/>
  <c r="E194" s="1"/>
  <c r="E166"/>
  <c r="E167" s="1"/>
  <c r="I140"/>
  <c r="I137"/>
  <c r="I71"/>
  <c r="I397"/>
  <c r="I392"/>
  <c r="I386"/>
  <c r="I381"/>
  <c r="I376"/>
  <c r="I368"/>
  <c r="I361"/>
  <c r="I358"/>
  <c r="I342"/>
  <c r="I339"/>
  <c r="I330"/>
  <c r="I327"/>
  <c r="I314"/>
  <c r="I309"/>
  <c r="H304"/>
  <c r="H305" s="1"/>
  <c r="I295"/>
  <c r="I282"/>
  <c r="I278"/>
  <c r="I273"/>
  <c r="I260"/>
  <c r="I257"/>
  <c r="D253"/>
  <c r="D254" s="1"/>
  <c r="H253"/>
  <c r="H254" s="1"/>
  <c r="I246"/>
  <c r="I238"/>
  <c r="I232"/>
  <c r="I233" s="1"/>
  <c r="H228"/>
  <c r="H229" s="1"/>
  <c r="I216"/>
  <c r="I208"/>
  <c r="E205"/>
  <c r="I192"/>
  <c r="I190"/>
  <c r="I189"/>
  <c r="H193"/>
  <c r="H194" s="1"/>
  <c r="I181"/>
  <c r="D172"/>
  <c r="D173" s="1"/>
  <c r="I170"/>
  <c r="I164"/>
  <c r="I162"/>
  <c r="I153"/>
  <c r="I141"/>
  <c r="I129"/>
  <c r="I125"/>
  <c r="I111"/>
  <c r="I99"/>
  <c r="I93"/>
  <c r="I84"/>
  <c r="I81"/>
  <c r="H85"/>
  <c r="H86" s="1"/>
  <c r="I70"/>
  <c r="I66"/>
  <c r="I35"/>
  <c r="I29"/>
  <c r="I28"/>
  <c r="I9"/>
  <c r="I336"/>
  <c r="I320"/>
  <c r="I310"/>
  <c r="I287"/>
  <c r="I298"/>
  <c r="I292"/>
  <c r="I285"/>
  <c r="I283"/>
  <c r="I279"/>
  <c r="I276"/>
  <c r="I258"/>
  <c r="I244"/>
  <c r="I242"/>
  <c r="I241"/>
  <c r="I227"/>
  <c r="I226"/>
  <c r="E222"/>
  <c r="E223" s="1"/>
  <c r="I218"/>
  <c r="I217"/>
  <c r="I209"/>
  <c r="I200"/>
  <c r="I199"/>
  <c r="I198"/>
  <c r="I182"/>
  <c r="I176"/>
  <c r="I171"/>
  <c r="I163"/>
  <c r="I159"/>
  <c r="I157"/>
  <c r="I154"/>
  <c r="I148"/>
  <c r="I149" s="1"/>
  <c r="I143"/>
  <c r="I138"/>
  <c r="H144"/>
  <c r="H145" s="1"/>
  <c r="I126"/>
  <c r="D117"/>
  <c r="D118" s="1"/>
  <c r="H117"/>
  <c r="H118" s="1"/>
  <c r="I112"/>
  <c r="I106"/>
  <c r="H108"/>
  <c r="H109" s="1"/>
  <c r="I101"/>
  <c r="I100"/>
  <c r="I91"/>
  <c r="I89"/>
  <c r="I67"/>
  <c r="H62"/>
  <c r="H63" s="1"/>
  <c r="I19"/>
  <c r="I11"/>
  <c r="I10"/>
  <c r="I404"/>
  <c r="I391"/>
  <c r="I388"/>
  <c r="I385"/>
  <c r="I382"/>
  <c r="I378"/>
  <c r="I374"/>
  <c r="I373"/>
  <c r="I367"/>
  <c r="I364"/>
  <c r="I363"/>
  <c r="I362"/>
  <c r="I357"/>
  <c r="I348"/>
  <c r="D344"/>
  <c r="D345" s="1"/>
  <c r="I337"/>
  <c r="I331"/>
  <c r="I328"/>
  <c r="I312"/>
  <c r="I299"/>
  <c r="I296"/>
  <c r="I293"/>
  <c r="I286"/>
  <c r="I280"/>
  <c r="I277"/>
  <c r="I274"/>
  <c r="D289"/>
  <c r="D290" s="1"/>
  <c r="H289"/>
  <c r="H290" s="1"/>
  <c r="H269"/>
  <c r="H270" s="1"/>
  <c r="I261"/>
  <c r="I259"/>
  <c r="I245"/>
  <c r="I243"/>
  <c r="I239"/>
  <c r="E248"/>
  <c r="E249" s="1"/>
  <c r="H248"/>
  <c r="H249" s="1"/>
  <c r="I220"/>
  <c r="I219"/>
  <c r="I213"/>
  <c r="I212"/>
  <c r="I211"/>
  <c r="I191"/>
  <c r="I210"/>
  <c r="I204"/>
  <c r="I202"/>
  <c r="I201"/>
  <c r="H205"/>
  <c r="H206" s="1"/>
  <c r="D184"/>
  <c r="D185" s="1"/>
  <c r="I183"/>
  <c r="I177"/>
  <c r="H172"/>
  <c r="H173" s="1"/>
  <c r="I165"/>
  <c r="I161"/>
  <c r="I155"/>
  <c r="I151"/>
  <c r="I139"/>
  <c r="I135"/>
  <c r="I128"/>
  <c r="I127"/>
  <c r="H103"/>
  <c r="H104" s="1"/>
  <c r="I90"/>
  <c r="D85"/>
  <c r="D86" s="1"/>
  <c r="I68"/>
  <c r="H54"/>
  <c r="H55" s="1"/>
  <c r="I43"/>
  <c r="I30"/>
  <c r="I121"/>
  <c r="E94"/>
  <c r="E95" s="1"/>
  <c r="E144"/>
  <c r="E145" s="1"/>
  <c r="D94"/>
  <c r="D95" s="1"/>
  <c r="I58"/>
  <c r="D405"/>
  <c r="D406" s="1"/>
  <c r="E332"/>
  <c r="E333" s="1"/>
  <c r="D222"/>
  <c r="D223" s="1"/>
  <c r="D130"/>
  <c r="D131" s="1"/>
  <c r="E103"/>
  <c r="E104" s="1"/>
  <c r="D76"/>
  <c r="D77" s="1"/>
  <c r="I75"/>
  <c r="I76" s="1"/>
  <c r="I77" s="1"/>
  <c r="I50"/>
  <c r="E16"/>
  <c r="E17" s="1"/>
  <c r="D332"/>
  <c r="D333" s="1"/>
  <c r="D321"/>
  <c r="D322" s="1"/>
  <c r="E315"/>
  <c r="E316" s="1"/>
  <c r="D300"/>
  <c r="D301" s="1"/>
  <c r="D228"/>
  <c r="D229" s="1"/>
  <c r="D205"/>
  <c r="D206" s="1"/>
  <c r="D193"/>
  <c r="D194" s="1"/>
  <c r="D166"/>
  <c r="D167" s="1"/>
  <c r="D144"/>
  <c r="D145" s="1"/>
  <c r="D72"/>
  <c r="D73" s="1"/>
  <c r="D349"/>
  <c r="D350" s="1"/>
  <c r="E130"/>
  <c r="E131" s="1"/>
  <c r="D54"/>
  <c r="D55" s="1"/>
  <c r="D40"/>
  <c r="D41" s="1"/>
  <c r="D25"/>
  <c r="D26" s="1"/>
  <c r="D113"/>
  <c r="D114" s="1"/>
  <c r="I24"/>
  <c r="D44"/>
  <c r="D45" s="1"/>
  <c r="D16"/>
  <c r="D17" s="1"/>
  <c r="D63" l="1"/>
  <c r="I31"/>
  <c r="I32" s="1"/>
  <c r="I40"/>
  <c r="I41" s="1"/>
  <c r="I16"/>
  <c r="I17" s="1"/>
  <c r="H349"/>
  <c r="H350" s="1"/>
  <c r="I321"/>
  <c r="I322" s="1"/>
  <c r="I409"/>
  <c r="I410" s="1"/>
  <c r="I166"/>
  <c r="I167" s="1"/>
  <c r="I300"/>
  <c r="I301" s="1"/>
  <c r="I113"/>
  <c r="I114" s="1"/>
  <c r="I184"/>
  <c r="I185" s="1"/>
  <c r="H263"/>
  <c r="H264" s="1"/>
  <c r="H393"/>
  <c r="H394" s="1"/>
  <c r="H72"/>
  <c r="H73" s="1"/>
  <c r="I53"/>
  <c r="I97"/>
  <c r="I169"/>
  <c r="I196"/>
  <c r="I235"/>
  <c r="I272"/>
  <c r="H332"/>
  <c r="H333" s="1"/>
  <c r="I20"/>
  <c r="I21" s="1"/>
  <c r="I134"/>
  <c r="I80"/>
  <c r="H178"/>
  <c r="H179" s="1"/>
  <c r="I225"/>
  <c r="I256"/>
  <c r="H344"/>
  <c r="H345" s="1"/>
  <c r="H321"/>
  <c r="H322" s="1"/>
  <c r="I124"/>
  <c r="H94"/>
  <c r="H95" s="1"/>
  <c r="I352"/>
  <c r="I65"/>
  <c r="I72" s="1"/>
  <c r="I73" s="1"/>
  <c r="I108"/>
  <c r="I109" s="1"/>
  <c r="I222"/>
  <c r="I223" s="1"/>
  <c r="I324"/>
  <c r="I175"/>
  <c r="I178" s="1"/>
  <c r="I179" s="1"/>
  <c r="I188"/>
  <c r="I252"/>
  <c r="I253" s="1"/>
  <c r="I254" s="1"/>
  <c r="I335"/>
  <c r="I344" s="1"/>
  <c r="I345" s="1"/>
  <c r="H405"/>
  <c r="H406" s="1"/>
  <c r="I88"/>
  <c r="I94" s="1"/>
  <c r="I95" s="1"/>
  <c r="I315"/>
  <c r="I316" s="1"/>
  <c r="I44"/>
  <c r="I45" s="1"/>
  <c r="H166"/>
  <c r="H167" s="1"/>
  <c r="I266"/>
  <c r="I61"/>
  <c r="I116"/>
  <c r="I117" s="1"/>
  <c r="I118" s="1"/>
  <c r="H300"/>
  <c r="H301" s="1"/>
  <c r="H113"/>
  <c r="H114" s="1"/>
  <c r="H184"/>
  <c r="H185" s="1"/>
  <c r="H222"/>
  <c r="H223" s="1"/>
  <c r="I303"/>
  <c r="I347"/>
  <c r="H315"/>
  <c r="H316" s="1"/>
  <c r="I396"/>
  <c r="I25"/>
  <c r="I26" s="1"/>
  <c r="I122"/>
  <c r="I172" l="1"/>
  <c r="I173" s="1"/>
  <c r="I349"/>
  <c r="I350" s="1"/>
  <c r="I269"/>
  <c r="I270" s="1"/>
  <c r="I263"/>
  <c r="I264" s="1"/>
  <c r="I144"/>
  <c r="I145" s="1"/>
  <c r="I289"/>
  <c r="I290" s="1"/>
  <c r="I103"/>
  <c r="I104" s="1"/>
  <c r="I332"/>
  <c r="I333" s="1"/>
  <c r="I393"/>
  <c r="I394" s="1"/>
  <c r="I304"/>
  <c r="I305" s="1"/>
  <c r="I193"/>
  <c r="I130"/>
  <c r="I131" s="1"/>
  <c r="I228"/>
  <c r="I229" s="1"/>
  <c r="I248"/>
  <c r="I249" s="1"/>
  <c r="I54"/>
  <c r="I55" s="1"/>
  <c r="I62"/>
  <c r="I63" s="1"/>
  <c r="I85"/>
  <c r="I86" s="1"/>
  <c r="I405"/>
  <c r="I406" s="1"/>
  <c r="I205"/>
  <c r="I34" i="9" l="1"/>
  <c r="I37" s="1"/>
  <c r="I38" s="1"/>
  <c r="G30"/>
  <c r="L30" s="1"/>
  <c r="G35" l="1"/>
  <c r="L35" s="1"/>
  <c r="G22" i="7"/>
  <c r="L22" s="1"/>
  <c r="G31" i="9" l="1"/>
  <c r="G32"/>
  <c r="G33" l="1"/>
  <c r="L32"/>
  <c r="L31"/>
  <c r="G34"/>
  <c r="L34" l="1"/>
  <c r="L33"/>
  <c r="G26"/>
  <c r="G21" i="7"/>
  <c r="L26" i="9" l="1"/>
  <c r="L21" i="7"/>
  <c r="G17" i="9" l="1"/>
  <c r="L17" s="1"/>
  <c r="G25" l="1"/>
  <c r="L25" s="1"/>
  <c r="G10" l="1"/>
  <c r="L10" s="1"/>
  <c r="G20" i="7" l="1"/>
  <c r="L20" s="1"/>
  <c r="G11"/>
  <c r="L11" s="1"/>
  <c r="G28" i="9" l="1"/>
  <c r="L28" l="1"/>
  <c r="G27"/>
  <c r="L27" s="1"/>
  <c r="G24"/>
  <c r="L24" s="1"/>
  <c r="G23"/>
  <c r="L23" s="1"/>
  <c r="G22"/>
  <c r="L22" s="1"/>
  <c r="G21"/>
  <c r="L21" s="1"/>
  <c r="G20"/>
  <c r="L20" s="1"/>
  <c r="G19"/>
  <c r="L19" s="1"/>
  <c r="G16"/>
  <c r="L16" s="1"/>
  <c r="G15"/>
  <c r="L15" s="1"/>
  <c r="G14"/>
  <c r="L14" s="1"/>
  <c r="G13"/>
  <c r="L13" s="1"/>
  <c r="G12"/>
  <c r="L12" s="1"/>
  <c r="G11"/>
  <c r="L11" s="1"/>
  <c r="G9"/>
  <c r="L9" s="1"/>
  <c r="G8"/>
  <c r="L8" s="1"/>
  <c r="H7"/>
  <c r="H37" s="1"/>
  <c r="G7"/>
  <c r="G24" i="7"/>
  <c r="L24" s="1"/>
  <c r="G18"/>
  <c r="G19"/>
  <c r="L19" s="1"/>
  <c r="H18"/>
  <c r="G17"/>
  <c r="L17" s="1"/>
  <c r="G16"/>
  <c r="L16" s="1"/>
  <c r="H15"/>
  <c r="G15"/>
  <c r="G14"/>
  <c r="L14" s="1"/>
  <c r="G13"/>
  <c r="L13" s="1"/>
  <c r="G12"/>
  <c r="L12" s="1"/>
  <c r="G10"/>
  <c r="L10" s="1"/>
  <c r="G9"/>
  <c r="L9" s="1"/>
  <c r="G8"/>
  <c r="L8" s="1"/>
  <c r="G7"/>
  <c r="L7" s="1"/>
  <c r="L15" l="1"/>
  <c r="G37" i="9"/>
  <c r="G38" s="1"/>
  <c r="L7"/>
  <c r="L37" s="1"/>
  <c r="L38" s="1"/>
  <c r="L18" i="7"/>
  <c r="C25" l="1"/>
  <c r="B25"/>
  <c r="A25"/>
  <c r="A37" i="9" l="1"/>
  <c r="I25" i="7" l="1"/>
  <c r="I26" s="1"/>
  <c r="J25"/>
  <c r="K25"/>
  <c r="H38" i="9" l="1"/>
  <c r="L25" i="7" l="1"/>
  <c r="G25"/>
  <c r="G26" s="1"/>
  <c r="H25"/>
  <c r="H26" s="1"/>
  <c r="I4" i="9" l="1"/>
  <c r="F409" i="6" l="1"/>
  <c r="I27" i="7" l="1"/>
  <c r="C37" i="9"/>
  <c r="B37"/>
  <c r="E409" i="6" l="1"/>
  <c r="G409"/>
  <c r="J27" i="7" l="1"/>
  <c r="H409" i="6" l="1"/>
  <c r="H410" s="1"/>
  <c r="D409"/>
  <c r="D410" s="1"/>
  <c r="L26" i="7" l="1"/>
  <c r="H27" l="1"/>
  <c r="I4" l="1"/>
  <c r="I2"/>
  <c r="J26" l="1"/>
  <c r="E410" i="6" l="1"/>
  <c r="F410"/>
  <c r="G410"/>
  <c r="K26" i="7" l="1"/>
  <c r="G27" l="1"/>
  <c r="L27" l="1"/>
  <c r="K27"/>
  <c r="J38" i="9" l="1"/>
</calcChain>
</file>

<file path=xl/sharedStrings.xml><?xml version="1.0" encoding="utf-8"?>
<sst xmlns="http://schemas.openxmlformats.org/spreadsheetml/2006/main" count="1109" uniqueCount="500">
  <si>
    <t>NOMBRE</t>
  </si>
  <si>
    <t>PUESTO</t>
  </si>
  <si>
    <t>SUELDO</t>
  </si>
  <si>
    <t>RETENCION</t>
  </si>
  <si>
    <t>S.E.</t>
  </si>
  <si>
    <t>SUELDO NETO</t>
  </si>
  <si>
    <t>TOTAL</t>
  </si>
  <si>
    <t>REGIDORES</t>
  </si>
  <si>
    <t>GOBIERNO MUNICIPAL DE AYOTLÁN, JALISCO</t>
  </si>
  <si>
    <t>Secretaria.</t>
  </si>
  <si>
    <t>Auxiliar.</t>
  </si>
  <si>
    <t>Rocio Patricia Chávez Ortiz.</t>
  </si>
  <si>
    <t>Fernando López Mayén.</t>
  </si>
  <si>
    <t>María del Socorro Hernández Andrade.</t>
  </si>
  <si>
    <t>Susana Camarena Rizo.</t>
  </si>
  <si>
    <t>Nadia Elizabeth Casillas Lara.</t>
  </si>
  <si>
    <t>María Cristina Alvarado Álvarez.</t>
  </si>
  <si>
    <t>Sandra Borja Hurtado.</t>
  </si>
  <si>
    <t>Miguel Ángel Escobedo Alatorre.</t>
  </si>
  <si>
    <t>Regidor.</t>
  </si>
  <si>
    <t>Auxiliar Administrativo.</t>
  </si>
  <si>
    <t>Secretaria de Ingresos.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</si>
  <si>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</si>
  <si>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</si>
  <si>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</si>
  <si>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</si>
  <si>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</si>
  <si>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</si>
  <si>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Hilda Mireya Barcenas Zaragoza.</t>
  </si>
  <si>
    <t>Ramiro Rosas Nuñez.</t>
  </si>
  <si>
    <t>Auxiliar Técnico.</t>
  </si>
  <si>
    <t>Juan Pablo Cárdenas Rivera.</t>
  </si>
  <si>
    <t>Elizabeth Ramírez Ramírez.</t>
  </si>
  <si>
    <t>Yessica Maricela Ramírez Ramírez.</t>
  </si>
  <si>
    <t>José García Cordova.</t>
  </si>
  <si>
    <t>Asesor Jurídico.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</si>
  <si>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</si>
  <si>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</si>
  <si>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</si>
  <si>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</si>
  <si>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</si>
  <si>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María Guadalupe Palafox Silva.</t>
  </si>
  <si>
    <t>Francisco Javier Rico López.</t>
  </si>
  <si>
    <t>Carmina Yadira Manriquez García.</t>
  </si>
  <si>
    <t>Comandante.</t>
  </si>
  <si>
    <t>Sallym Morales Serratos.</t>
  </si>
  <si>
    <t>Ma. Del Refugio Llamas Parada.</t>
  </si>
  <si>
    <t>Juan Gabriel Rea Álvarez.</t>
  </si>
  <si>
    <t>Teniente.</t>
  </si>
  <si>
    <t>Javier Navarro Camarena.</t>
  </si>
  <si>
    <t>Rogelio García Díaz.</t>
  </si>
  <si>
    <t>Primera.</t>
  </si>
  <si>
    <t>Abel González Tovar.</t>
  </si>
  <si>
    <t>Carlos González Vargas.</t>
  </si>
  <si>
    <t>Gerardo López Vázquez.</t>
  </si>
  <si>
    <t>Linea.</t>
  </si>
  <si>
    <t>Ramón Gómez Sotelo.</t>
  </si>
  <si>
    <t>Rigo Alvarado Guzmán.</t>
  </si>
  <si>
    <t>Julia Erendira García Barajas.</t>
  </si>
  <si>
    <t>Juan Hernández Zuñiga.</t>
  </si>
  <si>
    <t>Gerardo Cervantes Galindo.</t>
  </si>
  <si>
    <t>Fidel Cortes Garibay.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</si>
  <si>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</si>
  <si>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</si>
  <si>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</si>
  <si>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</si>
  <si>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</si>
  <si>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</si>
  <si>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</si>
  <si>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</si>
  <si>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</si>
  <si>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</si>
  <si>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</si>
  <si>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</si>
  <si>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</si>
  <si>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</si>
  <si>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</si>
  <si>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</si>
  <si>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</si>
  <si>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José de Jesús Pérez Aguilar.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</si>
  <si>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</si>
  <si>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</si>
  <si>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</si>
  <si>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</si>
  <si>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</si>
  <si>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</si>
  <si>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</si>
  <si>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</si>
  <si>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</si>
  <si>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</si>
  <si>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</si>
  <si>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</si>
  <si>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</si>
  <si>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</si>
  <si>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</si>
  <si>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</si>
  <si>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</si>
  <si>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</si>
  <si>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</si>
  <si>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</si>
  <si>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</si>
  <si>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</si>
  <si>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</si>
  <si>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</si>
  <si>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</si>
  <si>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Jardinero.</t>
  </si>
  <si>
    <t>Mantenimiento Cienega de Tlaxcala.</t>
  </si>
  <si>
    <t>Juan Martín Barrera Melgoza.</t>
  </si>
  <si>
    <t>Francisco Zarate Castillo.</t>
  </si>
  <si>
    <t>Francisco Zarate López.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</si>
  <si>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</si>
  <si>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</si>
  <si>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</si>
  <si>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</si>
  <si>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</si>
  <si>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</si>
  <si>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</si>
  <si>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Rubén Mendoza Falcón.</t>
  </si>
  <si>
    <t>Operador.</t>
  </si>
  <si>
    <t>Juan Lemus García.</t>
  </si>
  <si>
    <t>Rigoberto Torres Zendejas.</t>
  </si>
  <si>
    <t>José Miguel Márquez Navarro.</t>
  </si>
  <si>
    <t>Pedro Falcón García.</t>
  </si>
  <si>
    <t>Miguel Trejo Arámbula.</t>
  </si>
  <si>
    <t>Alfredo González Rodríguez.</t>
  </si>
  <si>
    <t>José Castillo García.</t>
  </si>
  <si>
    <t>Policía Vial.</t>
  </si>
  <si>
    <t>Secretaria de Agua Potable.</t>
  </si>
  <si>
    <t>Secretaria de Registro Civil.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</si>
  <si>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</si>
  <si>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</si>
  <si>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</si>
  <si>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</si>
  <si>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</si>
  <si>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</si>
  <si>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</si>
  <si>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</si>
  <si>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</si>
  <si>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José Manuel Zendejas Rodríguez.</t>
  </si>
  <si>
    <t>Juan José Ocegueda Martínez.</t>
  </si>
  <si>
    <t>Juan José Macías Ramírez.</t>
  </si>
  <si>
    <t>Ramón Rodríguez Negrete.</t>
  </si>
  <si>
    <t>Chofer vertedero.</t>
  </si>
  <si>
    <t>Encargado de cuadrilla 1.</t>
  </si>
  <si>
    <t>Jardinero de la Plaza.</t>
  </si>
  <si>
    <t>PENSIONADOS.</t>
  </si>
  <si>
    <t>Administrador del Rastro.</t>
  </si>
  <si>
    <t>J. Jesús Rodríguez González.</t>
  </si>
  <si>
    <t>Rigoberto Rodríguez Murillo.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</si>
  <si>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</si>
  <si>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</si>
  <si>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</si>
  <si>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</si>
  <si>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</si>
  <si>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</si>
  <si>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Raúl Ornelas Martínez.</t>
  </si>
  <si>
    <t>José Luis Neri Briseño.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</si>
  <si>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</si>
  <si>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</si>
  <si>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</si>
  <si>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</si>
  <si>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</si>
  <si>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Ma. Refugio Ascencio Herrera.</t>
  </si>
  <si>
    <t>Antonio Padilla Barrón.</t>
  </si>
  <si>
    <t>Salvador Rodríguez Zaragoza.</t>
  </si>
  <si>
    <t>Pensionado. (SP)</t>
  </si>
  <si>
    <t>Eva Trejo Coronado.</t>
  </si>
  <si>
    <t>Esmeralda Ángel Moreno.</t>
  </si>
  <si>
    <t>Niñera CAM.</t>
  </si>
  <si>
    <t>Juana Fabiola Ramírez Bravo.</t>
  </si>
  <si>
    <t>GUÍA PARA EMITIR PAGO DE SUELDOS.</t>
  </si>
  <si>
    <t>PRESIDENCIA.</t>
  </si>
  <si>
    <t>HACIENDA MUNICIPAL.</t>
  </si>
  <si>
    <t>DIRECCIÓN DE CATASTRO.</t>
  </si>
  <si>
    <t>DIRECCIÓN DE COMUNICACIÓN SOCIAL.</t>
  </si>
  <si>
    <t>DIRECCIÓN DE DEPORTES.</t>
  </si>
  <si>
    <t>DIRECCIÓN DE DESARROLLO SOCIAL.</t>
  </si>
  <si>
    <t>JUZGADO MUNICIPAL.</t>
  </si>
  <si>
    <t>MÉDICO MUNICIPAL.</t>
  </si>
  <si>
    <t>DEPATAMENTO MODULO DE MAQUINARIA.</t>
  </si>
  <si>
    <t>DIRECCIÓN DE PROMOCIÓN ECONÓMICA.</t>
  </si>
  <si>
    <t>DIRECCIÓN DE PROTECCIÓN CIVIL.</t>
  </si>
  <si>
    <t>DIRECCIÓN DE PROVEEDURÍA.</t>
  </si>
  <si>
    <t>DIRECCIÓN DE REGISTRO CIVIL.</t>
  </si>
  <si>
    <t>DIRECCIÓN DE SEGURIDAD PÚBLICA.</t>
  </si>
  <si>
    <t>DIRECCIÓN DE SERVICIOS PÚBLICOS.</t>
  </si>
  <si>
    <t>DEPARTAMENTO DE ALUMBRADO PÚBLICO.</t>
  </si>
  <si>
    <t>DEPARTAMENTO DE RASTRO MUNICIPAL.</t>
  </si>
  <si>
    <t>DEPARTAMENTO DE ASEO PÚBLICO.</t>
  </si>
  <si>
    <t>DEPARTAMENTO DE AGUA POTABLE Y ALCANTARILLADO.</t>
  </si>
  <si>
    <t>DEPARTAMENTO DE PARQUES Y JARDINES.</t>
  </si>
  <si>
    <t>DEPARTAMENTO DE VELADORES.</t>
  </si>
  <si>
    <t>DIRECCIÓN DE TRÁNSITO.</t>
  </si>
  <si>
    <t>DELEGACIÓN DE SANTA RITA.</t>
  </si>
  <si>
    <t>DELEGACIÓN DE BETANIA.</t>
  </si>
  <si>
    <t>DELEGACIÓN DE LA RIBERA.</t>
  </si>
  <si>
    <t>CENTRO DE DESARROLLO COMUNITARIO.</t>
  </si>
  <si>
    <t>APOYOS.</t>
  </si>
  <si>
    <t>PENSIONADOS SEGURIDAD PÚBLICA.</t>
  </si>
  <si>
    <t>CUENTA DE PAGO.</t>
  </si>
  <si>
    <t>HACIENDA.</t>
  </si>
  <si>
    <t>SP</t>
  </si>
  <si>
    <t>SEGURIDAD PUBLICA; TENIENTES.</t>
  </si>
  <si>
    <t>SEGURIDAD PUBLICA; PRIMERA.</t>
  </si>
  <si>
    <t>SEGURIDAD PUBLICA; LINEA.</t>
  </si>
  <si>
    <t>GRANDES TOTALES POR COLUMNA:</t>
  </si>
  <si>
    <t>Comprobación por área referenciada a Nomina Madre:</t>
  </si>
  <si>
    <t>Ismael Méndez López.</t>
  </si>
  <si>
    <t>Jefe de Dpto. Modulo de Maquinaria.</t>
  </si>
  <si>
    <t>Samuel Robles Zendejas.</t>
  </si>
  <si>
    <t>HACIENDA</t>
  </si>
  <si>
    <t>José Gerardo López Pérez.</t>
  </si>
  <si>
    <t>José Antonio Zendejas Rodríguez.</t>
  </si>
  <si>
    <t>Noé Alvizar Huerta.</t>
  </si>
  <si>
    <t>Juan Enrique Mojica Valadez.</t>
  </si>
  <si>
    <t>Encargado Cementerio La Ribera.</t>
  </si>
  <si>
    <t>APOYO ALIMENTOS</t>
  </si>
  <si>
    <t>1° Oficial. (A)</t>
  </si>
  <si>
    <t>1° Oficial. (B)</t>
  </si>
  <si>
    <t>2° Oficial. (B)</t>
  </si>
  <si>
    <t>3° Oficial. (A)</t>
  </si>
  <si>
    <t>3° Oficial. (B)</t>
  </si>
  <si>
    <t>Refugio Cisneros Melendrez.</t>
  </si>
  <si>
    <t>Elvira Jiménez González.</t>
  </si>
  <si>
    <t>RECURSOS HUMANOS.</t>
  </si>
  <si>
    <t>Secretaria</t>
  </si>
  <si>
    <t>COMPENSACIONES</t>
  </si>
  <si>
    <t>Adan Perez Morales</t>
  </si>
  <si>
    <t>Carlos Banda Álvarez.</t>
  </si>
  <si>
    <t>Jorge Alberto Llamas Parada</t>
  </si>
  <si>
    <t>Mantenimiento</t>
  </si>
  <si>
    <t>Ana Ruth Lara Delgado</t>
  </si>
  <si>
    <t>Chofer</t>
  </si>
  <si>
    <t>Luis Alberto Mora Ruiz</t>
  </si>
  <si>
    <t>Jose de Jesus Rojo Hernandez</t>
  </si>
  <si>
    <t>Aseador</t>
  </si>
  <si>
    <t>Pensionado</t>
  </si>
  <si>
    <t>Joel Aguilar Zabalza</t>
  </si>
  <si>
    <t>Adrian Roberto Lopez Parada</t>
  </si>
  <si>
    <t>Juan Pablo Solis Rizo</t>
  </si>
  <si>
    <t>Gustavo Mendez Zarate</t>
  </si>
  <si>
    <t>Cristian Adrian Gomez Mojica</t>
  </si>
  <si>
    <t>pensionado</t>
  </si>
  <si>
    <t>Gerardo Cervantes Hernandez</t>
  </si>
  <si>
    <t xml:space="preserve">Aseador Plaza y jardines </t>
  </si>
  <si>
    <t>Jose Patiño Ascencio</t>
  </si>
  <si>
    <t>Chofer de aseo Publico</t>
  </si>
  <si>
    <t>M .Guadalupe Martinez Mora</t>
  </si>
  <si>
    <t xml:space="preserve">Regidor </t>
  </si>
  <si>
    <t xml:space="preserve">Aseador </t>
  </si>
  <si>
    <t>Claudia Ibet Ayala Razo</t>
  </si>
  <si>
    <t>DEPARTAMENTO DE TRASPARENCIA</t>
  </si>
  <si>
    <t>DIRECCIÓN DE EDUCACION</t>
  </si>
  <si>
    <t>Directora</t>
  </si>
  <si>
    <t>Policia Vial</t>
  </si>
  <si>
    <t>Jose Ramon Mendoza Rojo</t>
  </si>
  <si>
    <t>Juan Emmanuel Castillo Castillo</t>
  </si>
  <si>
    <t>Maria Guadalupe Flores Rodriguez</t>
  </si>
  <si>
    <t>Ricardo Hernandez Trujillo</t>
  </si>
  <si>
    <t>INSTITUTO DE LA MUJER</t>
  </si>
  <si>
    <t>Encargada de Egresos</t>
  </si>
  <si>
    <t>Auxiliar de Egresos</t>
  </si>
  <si>
    <t>Encargada de bancos</t>
  </si>
  <si>
    <t>Auxiliar de Bancos</t>
  </si>
  <si>
    <t>Oficial del Registro Civil.</t>
  </si>
  <si>
    <t>Alejandro Romo Flores</t>
  </si>
  <si>
    <t>Veronica Garcia Guzman</t>
  </si>
  <si>
    <t>Margarita Limon Sotelo</t>
  </si>
  <si>
    <t xml:space="preserve">SECRETARÍA GENERAL </t>
  </si>
  <si>
    <t>SINDICATURA.</t>
  </si>
  <si>
    <t>Secretario General</t>
  </si>
  <si>
    <t>Hector Samuel Rodriguez Rodriguez</t>
  </si>
  <si>
    <t>Medico</t>
  </si>
  <si>
    <t>Alex Ivan Salcedo Montes</t>
  </si>
  <si>
    <t>Set Elias Mares Saavedra</t>
  </si>
  <si>
    <t>Jesús Rodríguez Castellanos.</t>
  </si>
  <si>
    <t>Promotor Deportivo</t>
  </si>
  <si>
    <t>Encargado del cementerio Santa Rita</t>
  </si>
  <si>
    <t>Gerardo Ocegueda Mendoza</t>
  </si>
  <si>
    <t>Sandra Lizbeth Villalpando Tovar</t>
  </si>
  <si>
    <t>María Elisabeth Hurtado Villaseñor.</t>
  </si>
  <si>
    <t>Jose de Jesus Arellano Moreno</t>
  </si>
  <si>
    <t>Juan Gallegos Barron</t>
  </si>
  <si>
    <t xml:space="preserve">Maria Soledad Jimenez Isaac </t>
  </si>
  <si>
    <t>Ernesto Rizo Rodriguez</t>
  </si>
  <si>
    <t xml:space="preserve">Fortino Leon Sierra </t>
  </si>
  <si>
    <t xml:space="preserve"> </t>
  </si>
  <si>
    <t xml:space="preserve">SP </t>
  </si>
  <si>
    <t>Gustavo Zarate Alvarez</t>
  </si>
  <si>
    <t>Mantenimiento Estadio Municipal</t>
  </si>
  <si>
    <t>C</t>
  </si>
  <si>
    <t>H</t>
  </si>
  <si>
    <t>M</t>
  </si>
  <si>
    <t>Israel Molina Flores</t>
  </si>
  <si>
    <t>J Jesus Leon Lopez</t>
  </si>
  <si>
    <t>Gerardo Banda Gonzalez</t>
  </si>
  <si>
    <t>Jesus Apolonio Murillo</t>
  </si>
  <si>
    <t>Cruz Augusto Ramirez Mulgado</t>
  </si>
  <si>
    <t>Francisco  Javier Jauregui Morales</t>
  </si>
  <si>
    <t>Encargado de cuadrillas</t>
  </si>
  <si>
    <t>3º Oficial</t>
  </si>
  <si>
    <t>Yanireth Ameyalli Sanchez Carrillo</t>
  </si>
  <si>
    <t>Rafael Donosa Guzman</t>
  </si>
  <si>
    <t>Alonzo Ramirez Mulgado</t>
  </si>
  <si>
    <t xml:space="preserve">Ignacio Aceves Hernandez </t>
  </si>
  <si>
    <t xml:space="preserve">HACIENDA </t>
  </si>
  <si>
    <t>Jose de Jesus Arellano Medina</t>
  </si>
  <si>
    <t>3 Oficial</t>
  </si>
  <si>
    <t>Juan Antonio Guzman Soto</t>
  </si>
  <si>
    <t xml:space="preserve">J.Refugio Cazares Padilla </t>
  </si>
  <si>
    <t xml:space="preserve">Laura Janeth Vargas Vazquez </t>
  </si>
  <si>
    <t xml:space="preserve">Elizabeth Magdalena Mancilla Vargas </t>
  </si>
  <si>
    <t xml:space="preserve">Eduardo Estrada Romero </t>
  </si>
  <si>
    <t xml:space="preserve">Nanci Eulalia Hernandez Bermudez </t>
  </si>
  <si>
    <t xml:space="preserve">Maria del Carmen Gonzalez Mendez </t>
  </si>
  <si>
    <t xml:space="preserve">Claudio Gaitan Garcia </t>
  </si>
  <si>
    <t xml:space="preserve">Leidy Elizabeth Alatorre Barajas </t>
  </si>
  <si>
    <t xml:space="preserve">Tesorera </t>
  </si>
  <si>
    <t xml:space="preserve">AREA DE MOVILIDAD URBANA Y TRANSITO MPAL </t>
  </si>
  <si>
    <t xml:space="preserve">Juan Marquez Dueñas </t>
  </si>
  <si>
    <t xml:space="preserve">Raziel Husai Gonzalez Hernandez </t>
  </si>
  <si>
    <t xml:space="preserve">Jefe de Area </t>
  </si>
  <si>
    <t xml:space="preserve">AREA DE INSPECCION Y VIGILANCIA, PADRON Y LICENCIAS </t>
  </si>
  <si>
    <t>Abraham Garcia Castillo</t>
  </si>
  <si>
    <t xml:space="preserve">Ernesto Alfonso Padilla Ruiz Velasco </t>
  </si>
  <si>
    <t xml:space="preserve">Auxiliar Administrativo </t>
  </si>
  <si>
    <t xml:space="preserve">Mariana Arambula Alatorre </t>
  </si>
  <si>
    <t xml:space="preserve">Esperanza Garcia Vazquez </t>
  </si>
  <si>
    <t xml:space="preserve">Miguel Angel Rodriguez Muñiz </t>
  </si>
  <si>
    <t xml:space="preserve">Martha Nayeli Serratos Quiroz </t>
  </si>
  <si>
    <t xml:space="preserve">Fernando Guzman Barrera </t>
  </si>
  <si>
    <t>Benjamin Apolonio Murillo</t>
  </si>
  <si>
    <t xml:space="preserve">Porfirio Rocha Escoto </t>
  </si>
  <si>
    <t xml:space="preserve">Daniel Velasco Tabarez </t>
  </si>
  <si>
    <t xml:space="preserve">Jose Daniel Benitez Perez </t>
  </si>
  <si>
    <t xml:space="preserve">Secretaria </t>
  </si>
  <si>
    <t xml:space="preserve">Carlos Mauricio Acosta Garcia </t>
  </si>
  <si>
    <t xml:space="preserve">Erick Salvador Conchas Garcia </t>
  </si>
  <si>
    <t xml:space="preserve">Alfredo Trejo Banda </t>
  </si>
  <si>
    <t xml:space="preserve">Encargado de pozo </t>
  </si>
  <si>
    <t>J. Jesus Guillemin Rubio</t>
  </si>
  <si>
    <t xml:space="preserve">Maria Guadalupe Garcia Echeverria </t>
  </si>
  <si>
    <t>Policia vial</t>
  </si>
  <si>
    <t xml:space="preserve">Jose Alberto Saavedra Martinez </t>
  </si>
  <si>
    <t xml:space="preserve">Jose Alvarez Quintero </t>
  </si>
  <si>
    <t xml:space="preserve">Juan Ricardo Barcenas Zaragoza </t>
  </si>
  <si>
    <t xml:space="preserve">Javier Diaz Cuevas </t>
  </si>
  <si>
    <t xml:space="preserve">Ismale Rojo Garcia </t>
  </si>
  <si>
    <t xml:space="preserve">Juan Hurtado Delgado </t>
  </si>
  <si>
    <t xml:space="preserve">Martin Medina Ascencio </t>
  </si>
  <si>
    <t xml:space="preserve">Gabriela Sotelo Valadez </t>
  </si>
  <si>
    <t xml:space="preserve">Eduardo Barron Rodriguez </t>
  </si>
  <si>
    <t xml:space="preserve">Iris Deni Chavez Balderas </t>
  </si>
  <si>
    <t xml:space="preserve">Angelica Maria Camarena Salazar </t>
  </si>
  <si>
    <t xml:space="preserve">Juana Cruz Comparan </t>
  </si>
  <si>
    <t xml:space="preserve">Intendente Unidad Deportiva </t>
  </si>
  <si>
    <t>ADMINISTRACIÓN 2021-2024</t>
  </si>
  <si>
    <t>Maria Guadalupe Garcia Palafox</t>
  </si>
  <si>
    <t>Miguel Angel Saldaña Luviano</t>
  </si>
  <si>
    <t>Jorge Alberto Navarro Gaytan</t>
  </si>
  <si>
    <t>Jose de Jesus Medina Banda</t>
  </si>
  <si>
    <t>Vicente Velazquez Camarena</t>
  </si>
  <si>
    <t xml:space="preserve"> Jose Martin Trejo Arambula</t>
  </si>
  <si>
    <t xml:space="preserve"> Cesar Ivan Gutierrez Garcia </t>
  </si>
  <si>
    <t>Ma. Rosario Guzman Perez</t>
  </si>
  <si>
    <t>Edith Hernandez Gonzalez</t>
  </si>
  <si>
    <t>Auxiliar administrativo</t>
  </si>
  <si>
    <t>Juan Carlos Martinez Loza</t>
  </si>
  <si>
    <t>Secretaria presidencia</t>
  </si>
  <si>
    <t xml:space="preserve">Delegado </t>
  </si>
  <si>
    <t>Rafael Melendez Luna</t>
  </si>
  <si>
    <t>Velador CDC la Ribera</t>
  </si>
  <si>
    <t>Sandra Morales Ramirez</t>
  </si>
  <si>
    <t>Operdor</t>
  </si>
  <si>
    <t>Rafael Vazquez Zuñiga</t>
  </si>
  <si>
    <t>Oficial Registro civil</t>
  </si>
  <si>
    <t>Directora de Investigacion</t>
  </si>
  <si>
    <t>Director de Auditoria y Revision Hacendaria</t>
  </si>
  <si>
    <t>Jonathan Rafael Jaramillo Llamas</t>
  </si>
  <si>
    <t>3º Oficial PC</t>
  </si>
  <si>
    <t>CONTRALORIA</t>
  </si>
  <si>
    <t>ORGANO INTERNO DE CONTROL</t>
  </si>
  <si>
    <t>Ma. Dolores Rizo Vazquez</t>
  </si>
  <si>
    <t>Encargada de CDC</t>
  </si>
  <si>
    <t>DIRECCIÓN DE CULTURA</t>
  </si>
  <si>
    <t>DIRECCIÓN DE OBRAS PÚBLICAS  Y PLANEACION URBANA</t>
  </si>
  <si>
    <t>Inspector</t>
  </si>
  <si>
    <t xml:space="preserve">Francisco Javier Velasco Tabarez </t>
  </si>
  <si>
    <t>Juan Carlos Hurtado Escoto</t>
  </si>
  <si>
    <t>Jose de Jesus Rizo Garcia</t>
  </si>
  <si>
    <t>David Guadalupe Perez Lopez</t>
  </si>
  <si>
    <t>Martha Rivas Mendoza</t>
  </si>
  <si>
    <t>Secretario Atencion Ciudadana</t>
  </si>
  <si>
    <t>Ivone Susana Valdivia Sanchez</t>
  </si>
  <si>
    <t>Jose Manuel Alvarado Rivera</t>
  </si>
  <si>
    <t>Hector Copado Rizo</t>
  </si>
  <si>
    <t>Luis Ignacio Enrique Delgadillo</t>
  </si>
  <si>
    <t>Leticia Juárez Huichapa.</t>
  </si>
  <si>
    <t>Agustin Bautista Navarrete</t>
  </si>
  <si>
    <t>Clariza Janet Hernandez Rivera</t>
  </si>
  <si>
    <t>Felimon Razo Flores</t>
  </si>
  <si>
    <t>Jefe de Despacho</t>
  </si>
  <si>
    <t>Javier Hernandez Vargas</t>
  </si>
  <si>
    <t>Alfonso Lopez Zarate</t>
  </si>
  <si>
    <t xml:space="preserve">Arturo Javier Redrujo Gonzalez </t>
  </si>
  <si>
    <t>Oscar Alexis Gonzalez Sanchez</t>
  </si>
  <si>
    <t>Rogelio Alvizar Hernandez</t>
  </si>
  <si>
    <t>Alma Mireya Soto Padilla</t>
  </si>
  <si>
    <t>Yasmin Marin  Sotelo</t>
  </si>
  <si>
    <t>Jose de Jesus Huerta Cardenas</t>
  </si>
  <si>
    <t>Instructos de Banda de Guerra</t>
  </si>
  <si>
    <t>Pensionada</t>
  </si>
  <si>
    <t>Angelina DeOrta Camacho</t>
  </si>
  <si>
    <t>DIRECCIÓN DE DESARROLLO AGROPECUARIO Y ECOLOGIA</t>
  </si>
  <si>
    <t>Director</t>
  </si>
  <si>
    <t>Encargado de Egresos</t>
  </si>
  <si>
    <t>Javier Valadez Zaragoza</t>
  </si>
  <si>
    <t>Ricardo Blanco Giron</t>
  </si>
  <si>
    <t>Juan Manuel Tovar Dominguez</t>
  </si>
  <si>
    <t>Edgar Mauricio Garcia Vera</t>
  </si>
  <si>
    <t>Juan Carlos Rojo Alatorre</t>
  </si>
  <si>
    <t>Encargado de Despacho</t>
  </si>
  <si>
    <t>Erika Rodarte Zarate</t>
  </si>
  <si>
    <t>Chofer Vehiculos de Emergencia</t>
  </si>
  <si>
    <t>José Luis Fuentes Hernández.</t>
  </si>
  <si>
    <t>Salvador Escoto Lopez</t>
  </si>
  <si>
    <t>Lourdes Garcia Esquivel</t>
  </si>
  <si>
    <t>Celia Garcia Reynoso</t>
  </si>
  <si>
    <t>Agustin Mendez Morales</t>
  </si>
  <si>
    <t>Auxiliar  administrativa comunicación social</t>
  </si>
  <si>
    <t>Policia Eventual</t>
  </si>
  <si>
    <t>Chofer de Rutas Foraneas</t>
  </si>
  <si>
    <t>Sanjuana Gonzalez Redrujo</t>
  </si>
  <si>
    <t>Victor Manuel Arias Cervantes</t>
  </si>
  <si>
    <t>Jose Manuel Caloca Cruz</t>
  </si>
  <si>
    <t>Adriana Lizeth Marquez Quintero</t>
  </si>
  <si>
    <t>Lisandro Trejo Morales</t>
  </si>
  <si>
    <t>Secretario Casa de la Cultura</t>
  </si>
  <si>
    <t>Samandra Guadalupe Avila Servin</t>
  </si>
  <si>
    <t>Jefe de Albañiles</t>
  </si>
  <si>
    <t>Operador Modulo Maquinaria</t>
  </si>
  <si>
    <t>Juan Miguel Barajas Alcala</t>
  </si>
  <si>
    <t>Ramiro Ismael Cedillo Delgado</t>
  </si>
  <si>
    <t>Jose Luis Banda Andrade</t>
  </si>
  <si>
    <t>Antonio Salinas Arcega</t>
  </si>
  <si>
    <t>Encargada</t>
  </si>
  <si>
    <t>Antony Fabian Trejo Banda</t>
  </si>
  <si>
    <t xml:space="preserve"> Adriana Elizabeth Solorio Trujillo</t>
  </si>
  <si>
    <t>Fernando Ignacio Leon Flores</t>
  </si>
  <si>
    <t>Alondra Flores Rodriguez</t>
  </si>
  <si>
    <t>Jefe de Mecanicos</t>
  </si>
  <si>
    <t>3 ° Oficial</t>
  </si>
  <si>
    <t>Aseador Plaza de la Concia</t>
  </si>
  <si>
    <t>Inspectora Gandera</t>
  </si>
  <si>
    <t>Intendente Delegacion  Betania</t>
  </si>
  <si>
    <t>Secretaria Delegacion  Santa Rita</t>
  </si>
  <si>
    <t>Maria Monserrat Marquez Ayala</t>
  </si>
  <si>
    <t xml:space="preserve">Guillermo Amezola Fonseca </t>
  </si>
  <si>
    <t>Antonio Herrera Lopez</t>
  </si>
  <si>
    <t>Auxiliar</t>
  </si>
  <si>
    <t>Cruz Alejandro Echeverria Garcia</t>
  </si>
  <si>
    <t>Jose Luis Lara Jimenez</t>
  </si>
  <si>
    <t>Salvador Ulises Rodriguez Mendez</t>
  </si>
  <si>
    <t>Maria de los Angeles Alatorre Velasquez</t>
  </si>
  <si>
    <t>Guillermo Barron Hurtado</t>
  </si>
  <si>
    <t>Chofer Educacion</t>
  </si>
  <si>
    <t>Aslhy Luz Cristina Gonzalez Nuñez</t>
  </si>
  <si>
    <t>Leopoldo Cervantes Guzman</t>
  </si>
  <si>
    <t>Operador Modulo de Maquinaria</t>
  </si>
  <si>
    <t>Joab Mejia Calderon</t>
  </si>
  <si>
    <t>Luis Angel Morones Torres</t>
  </si>
  <si>
    <t>Maura Flores Rodriguez</t>
  </si>
  <si>
    <t>Delegada Suplente</t>
  </si>
  <si>
    <t>Juan Pablo Guzman Angel</t>
  </si>
  <si>
    <t>Elizabeth Rodriguez</t>
  </si>
  <si>
    <t>Auxiliar Administrativa</t>
  </si>
  <si>
    <t>Gael Garcia Niebla</t>
  </si>
  <si>
    <t>Cristian Venegas Rivas</t>
  </si>
  <si>
    <t>Manuel Sacramento Ayala Garcia</t>
  </si>
  <si>
    <t>Jaime Llamas Parada</t>
  </si>
  <si>
    <t>Jesus Salvador  Bautista Melgoza</t>
  </si>
  <si>
    <t>Cristopher Josue Rivera Hernandez</t>
  </si>
  <si>
    <t>Joel Alcala Tovar</t>
  </si>
  <si>
    <t>Regidor Suplente</t>
  </si>
  <si>
    <t>Juan Omar Davalos Zamora</t>
  </si>
  <si>
    <t>Roberto Carlos Hurtado Ruiz</t>
  </si>
  <si>
    <t>Alan Moises Vazquez Flores</t>
  </si>
  <si>
    <t>Luis Antonio Conchas Alcala</t>
  </si>
  <si>
    <t>Presidente Interina</t>
  </si>
  <si>
    <t>Elva Lucia Ramirez Hurtado</t>
  </si>
  <si>
    <t>Encargada de Despacho</t>
  </si>
  <si>
    <t>Juan Diego Galindo Dominguez</t>
  </si>
  <si>
    <t>M Carmen  Madrigal Solis</t>
  </si>
  <si>
    <t>Sindico Interino</t>
  </si>
  <si>
    <t>Salbador Galindo Hernandez</t>
  </si>
  <si>
    <t xml:space="preserve"> Aux. Alumbrado Publico </t>
  </si>
  <si>
    <t>Victor Alfonso Leon Tabarez</t>
  </si>
  <si>
    <t>Nómina que corresponde a la   2DA.  (Segúnda    )QUINCENA   del mes de ABRIL de 2024.</t>
  </si>
  <si>
    <t>Ramon Ignacio Gama Hernandez</t>
  </si>
  <si>
    <t>Alfonso Villalpando Meza</t>
  </si>
</sst>
</file>

<file path=xl/styles.xml><?xml version="1.0" encoding="utf-8"?>
<styleSheet xmlns="http://schemas.openxmlformats.org/spreadsheetml/2006/main">
  <numFmts count="4"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4"/>
      <color rgb="FFFF0000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rgb="FFFF0000"/>
      <name val="Bookman Old Style"/>
      <family val="1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b/>
      <sz val="12"/>
      <color rgb="FF7030A0"/>
      <name val="Arial"/>
      <family val="2"/>
    </font>
    <font>
      <sz val="14"/>
      <name val="Arial"/>
      <family val="2"/>
    </font>
    <font>
      <b/>
      <sz val="14"/>
      <color rgb="FF7030A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62"/>
      <name val="Arial"/>
      <family val="2"/>
    </font>
    <font>
      <sz val="11"/>
      <name val="Arial"/>
      <family val="2"/>
    </font>
    <font>
      <b/>
      <sz val="14"/>
      <color indexed="56"/>
      <name val="Arial"/>
      <family val="2"/>
    </font>
    <font>
      <b/>
      <sz val="14"/>
      <color theme="9" tint="-0.249977111117893"/>
      <name val="Bookman Old Style"/>
      <family val="1"/>
    </font>
    <font>
      <b/>
      <sz val="11"/>
      <name val="Bookman Old Style"/>
      <family val="1"/>
    </font>
    <font>
      <b/>
      <sz val="10"/>
      <color theme="9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Bookman Old Style"/>
      <family val="1"/>
    </font>
    <font>
      <b/>
      <sz val="11"/>
      <color theme="9" tint="-0.249977111117893"/>
      <name val="Arial"/>
      <family val="2"/>
    </font>
    <font>
      <b/>
      <sz val="11"/>
      <name val="Arial"/>
      <family val="2"/>
    </font>
    <font>
      <sz val="11"/>
      <color rgb="FFFF0000"/>
      <name val="Bookman Old Style"/>
      <family val="1"/>
    </font>
    <font>
      <b/>
      <sz val="11"/>
      <color rgb="FF0061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DashDot">
        <color theme="5" tint="0.39994506668294322"/>
      </top>
      <bottom style="mediumDashDot">
        <color theme="5" tint="0.39994506668294322"/>
      </bottom>
      <diagonal/>
    </border>
    <border>
      <left/>
      <right/>
      <top/>
      <bottom style="mediumDashDot">
        <color theme="5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theme="5" tint="0.3999450666829432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mediumDashDot">
        <color theme="5" tint="0.3999450666829432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uble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uble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DashDot">
        <color theme="5" tint="0.39994506668294322"/>
      </top>
      <bottom style="mediumDashDot">
        <color theme="5" tint="0.3999450666829432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DashDot">
        <color theme="5" tint="0.39994506668294322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DashDot">
        <color theme="5" tint="0.39994506668294322"/>
      </bottom>
      <diagonal/>
    </border>
    <border>
      <left/>
      <right/>
      <top style="thin">
        <color theme="0" tint="-0.14999847407452621"/>
      </top>
      <bottom style="mediumDashDot">
        <color theme="5" tint="0.39994506668294322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uble">
        <color indexed="64"/>
      </bottom>
      <diagonal/>
    </border>
    <border>
      <left style="thin">
        <color theme="0" tint="-0.14999847407452621"/>
      </left>
      <right/>
      <top/>
      <bottom style="double">
        <color indexed="64"/>
      </bottom>
      <diagonal/>
    </border>
    <border>
      <left/>
      <right style="thin">
        <color theme="0" tint="-0.1499984740745262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8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25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2" fillId="27" borderId="0" xfId="0" applyFont="1" applyFill="1"/>
    <xf numFmtId="0" fontId="22" fillId="28" borderId="0" xfId="0" applyFont="1" applyFill="1"/>
    <xf numFmtId="0" fontId="0" fillId="0" borderId="0" xfId="0" applyFill="1"/>
    <xf numFmtId="0" fontId="22" fillId="24" borderId="0" xfId="0" applyFont="1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4" fillId="2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6" fillId="25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25" borderId="31" xfId="0" applyFont="1" applyFill="1" applyBorder="1" applyAlignment="1">
      <alignment vertical="center"/>
    </xf>
    <xf numFmtId="0" fontId="30" fillId="30" borderId="0" xfId="0" applyFont="1" applyFill="1" applyAlignment="1">
      <alignment horizontal="center" vertical="center"/>
    </xf>
    <xf numFmtId="0" fontId="36" fillId="25" borderId="19" xfId="0" applyFont="1" applyFill="1" applyBorder="1" applyAlignment="1">
      <alignment vertical="center"/>
    </xf>
    <xf numFmtId="0" fontId="30" fillId="30" borderId="0" xfId="0" applyFont="1" applyFill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0" xfId="0" applyFont="1" applyFill="1"/>
    <xf numFmtId="0" fontId="36" fillId="30" borderId="0" xfId="0" applyFont="1" applyFill="1" applyBorder="1" applyAlignment="1">
      <alignment vertical="center"/>
    </xf>
    <xf numFmtId="0" fontId="31" fillId="25" borderId="0" xfId="0" applyFont="1" applyFill="1" applyBorder="1" applyAlignment="1"/>
    <xf numFmtId="0" fontId="30" fillId="0" borderId="28" xfId="0" applyFont="1" applyFill="1" applyBorder="1" applyAlignment="1">
      <alignment horizontal="center" vertical="center"/>
    </xf>
    <xf numFmtId="0" fontId="30" fillId="30" borderId="0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4" fillId="25" borderId="31" xfId="0" applyFont="1" applyFill="1" applyBorder="1" applyAlignment="1">
      <alignment vertical="center"/>
    </xf>
    <xf numFmtId="0" fontId="34" fillId="25" borderId="19" xfId="0" applyFont="1" applyFill="1" applyBorder="1" applyAlignment="1">
      <alignment vertical="center"/>
    </xf>
    <xf numFmtId="0" fontId="32" fillId="0" borderId="0" xfId="0" applyFont="1" applyFill="1"/>
    <xf numFmtId="0" fontId="33" fillId="25" borderId="0" xfId="0" applyFont="1" applyFill="1" applyBorder="1" applyAlignment="1"/>
    <xf numFmtId="0" fontId="33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3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9" fillId="30" borderId="0" xfId="0" applyFont="1" applyFill="1" applyBorder="1" applyAlignment="1">
      <alignment horizontal="left" vertical="center" wrapText="1"/>
    </xf>
    <xf numFmtId="4" fontId="32" fillId="30" borderId="0" xfId="0" applyNumberFormat="1" applyFont="1" applyFill="1" applyAlignment="1">
      <alignment vertical="center" wrapText="1"/>
    </xf>
    <xf numFmtId="0" fontId="39" fillId="30" borderId="0" xfId="0" applyFont="1" applyFill="1" applyBorder="1" applyAlignment="1">
      <alignment vertical="center" wrapText="1"/>
    </xf>
    <xf numFmtId="0" fontId="36" fillId="25" borderId="18" xfId="0" applyFont="1" applyFill="1" applyBorder="1" applyAlignment="1">
      <alignment vertical="center"/>
    </xf>
    <xf numFmtId="0" fontId="32" fillId="0" borderId="0" xfId="0" applyFont="1" applyFill="1" applyAlignment="1">
      <alignment wrapText="1"/>
    </xf>
    <xf numFmtId="0" fontId="34" fillId="25" borderId="18" xfId="0" applyFont="1" applyFill="1" applyBorder="1" applyAlignment="1">
      <alignment vertical="center"/>
    </xf>
    <xf numFmtId="4" fontId="32" fillId="0" borderId="0" xfId="0" applyNumberFormat="1" applyFont="1" applyFill="1" applyAlignment="1">
      <alignment vertical="center"/>
    </xf>
    <xf numFmtId="0" fontId="32" fillId="0" borderId="18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32" fillId="30" borderId="0" xfId="0" applyFont="1" applyFill="1" applyBorder="1" applyAlignment="1">
      <alignment horizontal="left" vertical="center"/>
    </xf>
    <xf numFmtId="0" fontId="32" fillId="30" borderId="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wrapText="1"/>
    </xf>
    <xf numFmtId="0" fontId="32" fillId="30" borderId="0" xfId="0" applyFont="1" applyFill="1" applyAlignment="1">
      <alignment horizontal="left" vertical="center"/>
    </xf>
    <xf numFmtId="0" fontId="32" fillId="24" borderId="17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30" borderId="0" xfId="0" applyFont="1" applyFill="1" applyBorder="1" applyAlignment="1">
      <alignment vertical="center"/>
    </xf>
    <xf numFmtId="0" fontId="32" fillId="24" borderId="27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2" fillId="24" borderId="28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0" fontId="32" fillId="0" borderId="33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 wrapText="1"/>
    </xf>
    <xf numFmtId="0" fontId="33" fillId="25" borderId="0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 wrapText="1"/>
    </xf>
    <xf numFmtId="0" fontId="32" fillId="24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31" xfId="0" applyFont="1" applyFill="1" applyBorder="1" applyAlignment="1">
      <alignment horizontal="left" vertical="center" wrapText="1"/>
    </xf>
    <xf numFmtId="0" fontId="32" fillId="24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28" borderId="23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2" fillId="29" borderId="0" xfId="0" applyFont="1" applyFill="1" applyBorder="1" applyAlignment="1">
      <alignment horizontal="left" vertical="center" wrapText="1"/>
    </xf>
    <xf numFmtId="0" fontId="32" fillId="30" borderId="32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/>
    <xf numFmtId="0" fontId="41" fillId="0" borderId="0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wrapText="1"/>
    </xf>
    <xf numFmtId="0" fontId="36" fillId="25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center" vertical="center"/>
    </xf>
    <xf numFmtId="0" fontId="30" fillId="30" borderId="3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24" borderId="19" xfId="0" applyNumberFormat="1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4" fontId="30" fillId="30" borderId="19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30" borderId="1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wrapText="1"/>
    </xf>
    <xf numFmtId="0" fontId="30" fillId="24" borderId="32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6" borderId="2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25" borderId="18" xfId="0" applyFont="1" applyFill="1" applyBorder="1" applyAlignment="1">
      <alignment horizontal="center" vertical="center"/>
    </xf>
    <xf numFmtId="0" fontId="30" fillId="30" borderId="31" xfId="46" applyNumberFormat="1" applyFont="1" applyFill="1" applyBorder="1" applyAlignment="1">
      <alignment horizontal="center"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31" xfId="46" applyNumberFormat="1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30" fillId="30" borderId="27" xfId="0" applyFont="1" applyFill="1" applyBorder="1" applyAlignment="1">
      <alignment horizontal="center" vertical="center"/>
    </xf>
    <xf numFmtId="0" fontId="30" fillId="30" borderId="27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30" fillId="3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8" borderId="21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 vertical="center"/>
    </xf>
    <xf numFmtId="167" fontId="30" fillId="0" borderId="0" xfId="0" applyNumberFormat="1" applyFont="1" applyFill="1" applyAlignment="1">
      <alignment horizontal="center" vertical="center"/>
    </xf>
    <xf numFmtId="167" fontId="35" fillId="0" borderId="0" xfId="0" applyNumberFormat="1" applyFont="1" applyFill="1" applyAlignment="1">
      <alignment horizontal="center" vertical="center"/>
    </xf>
    <xf numFmtId="0" fontId="35" fillId="0" borderId="13" xfId="0" applyFont="1" applyFill="1" applyBorder="1" applyAlignment="1">
      <alignment horizontal="right" vertical="center"/>
    </xf>
    <xf numFmtId="167" fontId="35" fillId="0" borderId="13" xfId="0" applyNumberFormat="1" applyFont="1" applyFill="1" applyBorder="1" applyAlignment="1">
      <alignment horizontal="center" vertical="center"/>
    </xf>
    <xf numFmtId="167" fontId="30" fillId="30" borderId="0" xfId="0" applyNumberFormat="1" applyFont="1" applyFill="1" applyAlignment="1">
      <alignment horizontal="center" vertical="center"/>
    </xf>
    <xf numFmtId="0" fontId="35" fillId="0" borderId="16" xfId="0" applyFont="1" applyFill="1" applyBorder="1" applyAlignment="1">
      <alignment horizontal="right" vertical="center"/>
    </xf>
    <xf numFmtId="167" fontId="35" fillId="0" borderId="16" xfId="0" applyNumberFormat="1" applyFont="1" applyFill="1" applyBorder="1" applyAlignment="1">
      <alignment horizontal="center" vertical="center"/>
    </xf>
    <xf numFmtId="167" fontId="30" fillId="30" borderId="0" xfId="0" applyNumberFormat="1" applyFont="1" applyFill="1" applyBorder="1" applyAlignment="1">
      <alignment horizontal="center" vertical="center"/>
    </xf>
    <xf numFmtId="167" fontId="35" fillId="0" borderId="11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vertical="center"/>
    </xf>
    <xf numFmtId="167" fontId="30" fillId="0" borderId="20" xfId="0" applyNumberFormat="1" applyFont="1" applyFill="1" applyBorder="1" applyAlignment="1">
      <alignment horizontal="center" vertical="center"/>
    </xf>
    <xf numFmtId="167" fontId="30" fillId="0" borderId="27" xfId="0" applyNumberFormat="1" applyFont="1" applyFill="1" applyBorder="1" applyAlignment="1">
      <alignment horizontal="center" vertical="center"/>
    </xf>
    <xf numFmtId="167" fontId="30" fillId="0" borderId="19" xfId="0" applyNumberFormat="1" applyFont="1" applyFill="1" applyBorder="1" applyAlignment="1">
      <alignment horizontal="center" vertical="center"/>
    </xf>
    <xf numFmtId="167" fontId="30" fillId="0" borderId="17" xfId="0" applyNumberFormat="1" applyFont="1" applyFill="1" applyBorder="1" applyAlignment="1">
      <alignment horizontal="center" vertical="center"/>
    </xf>
    <xf numFmtId="167" fontId="30" fillId="24" borderId="17" xfId="0" applyNumberFormat="1" applyFont="1" applyFill="1" applyBorder="1" applyAlignment="1">
      <alignment horizontal="center" vertical="center"/>
    </xf>
    <xf numFmtId="167" fontId="30" fillId="24" borderId="18" xfId="0" applyNumberFormat="1" applyFont="1" applyFill="1" applyBorder="1" applyAlignment="1">
      <alignment horizontal="center" vertical="center"/>
    </xf>
    <xf numFmtId="167" fontId="30" fillId="0" borderId="28" xfId="0" applyNumberFormat="1" applyFont="1" applyFill="1" applyBorder="1" applyAlignment="1">
      <alignment horizontal="center" vertical="center"/>
    </xf>
    <xf numFmtId="167" fontId="35" fillId="0" borderId="14" xfId="0" applyNumberFormat="1" applyFont="1" applyFill="1" applyBorder="1" applyAlignment="1">
      <alignment horizontal="center" vertical="center"/>
    </xf>
    <xf numFmtId="167" fontId="30" fillId="30" borderId="17" xfId="0" applyNumberFormat="1" applyFont="1" applyFill="1" applyBorder="1" applyAlignment="1">
      <alignment horizontal="center" vertical="center"/>
    </xf>
    <xf numFmtId="167" fontId="30" fillId="30" borderId="20" xfId="0" applyNumberFormat="1" applyFont="1" applyFill="1" applyBorder="1" applyAlignment="1">
      <alignment horizontal="center" vertical="center"/>
    </xf>
    <xf numFmtId="167" fontId="30" fillId="30" borderId="19" xfId="0" applyNumberFormat="1" applyFont="1" applyFill="1" applyBorder="1" applyAlignment="1">
      <alignment horizontal="center" vertical="center"/>
    </xf>
    <xf numFmtId="167" fontId="30" fillId="30" borderId="18" xfId="0" applyNumberFormat="1" applyFont="1" applyFill="1" applyBorder="1" applyAlignment="1">
      <alignment horizontal="center" vertical="center"/>
    </xf>
    <xf numFmtId="167" fontId="35" fillId="0" borderId="27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right" vertical="center"/>
    </xf>
    <xf numFmtId="167" fontId="35" fillId="0" borderId="37" xfId="0" applyNumberFormat="1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vertical="center"/>
    </xf>
    <xf numFmtId="167" fontId="30" fillId="30" borderId="28" xfId="0" applyNumberFormat="1" applyFont="1" applyFill="1" applyBorder="1" applyAlignment="1">
      <alignment horizontal="center" vertical="center"/>
    </xf>
    <xf numFmtId="0" fontId="30" fillId="30" borderId="0" xfId="0" applyFont="1" applyFill="1"/>
    <xf numFmtId="167" fontId="30" fillId="0" borderId="35" xfId="0" applyNumberFormat="1" applyFont="1" applyFill="1" applyBorder="1" applyAlignment="1">
      <alignment horizontal="center" vertical="center"/>
    </xf>
    <xf numFmtId="167" fontId="30" fillId="0" borderId="38" xfId="0" applyNumberFormat="1" applyFont="1" applyFill="1" applyBorder="1" applyAlignment="1">
      <alignment horizontal="center" vertical="center"/>
    </xf>
    <xf numFmtId="167" fontId="30" fillId="0" borderId="22" xfId="0" applyNumberFormat="1" applyFont="1" applyFill="1" applyBorder="1" applyAlignment="1">
      <alignment horizontal="center" vertical="center"/>
    </xf>
    <xf numFmtId="167" fontId="30" fillId="24" borderId="20" xfId="0" applyNumberFormat="1" applyFont="1" applyFill="1" applyBorder="1" applyAlignment="1">
      <alignment horizontal="center" vertical="center"/>
    </xf>
    <xf numFmtId="167" fontId="30" fillId="0" borderId="21" xfId="0" applyNumberFormat="1" applyFont="1" applyFill="1" applyBorder="1" applyAlignment="1">
      <alignment horizontal="center" vertical="center"/>
    </xf>
    <xf numFmtId="167" fontId="40" fillId="24" borderId="26" xfId="0" applyNumberFormat="1" applyFont="1" applyFill="1" applyBorder="1" applyAlignment="1">
      <alignment horizontal="center" vertical="center"/>
    </xf>
    <xf numFmtId="167" fontId="40" fillId="24" borderId="28" xfId="0" applyNumberFormat="1" applyFont="1" applyFill="1" applyBorder="1" applyAlignment="1">
      <alignment horizontal="center" vertical="center"/>
    </xf>
    <xf numFmtId="167" fontId="30" fillId="0" borderId="31" xfId="0" applyNumberFormat="1" applyFont="1" applyFill="1" applyBorder="1" applyAlignment="1">
      <alignment horizontal="center" vertical="center"/>
    </xf>
    <xf numFmtId="167" fontId="30" fillId="0" borderId="26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167" fontId="40" fillId="0" borderId="21" xfId="0" applyNumberFormat="1" applyFont="1" applyFill="1" applyBorder="1" applyAlignment="1">
      <alignment horizontal="center" vertical="center"/>
    </xf>
    <xf numFmtId="167" fontId="30" fillId="0" borderId="0" xfId="0" applyNumberFormat="1" applyFont="1" applyFill="1" applyBorder="1" applyAlignment="1">
      <alignment horizontal="center"/>
    </xf>
    <xf numFmtId="167" fontId="40" fillId="0" borderId="27" xfId="0" applyNumberFormat="1" applyFont="1" applyFill="1" applyBorder="1" applyAlignment="1">
      <alignment horizontal="center" vertical="center"/>
    </xf>
    <xf numFmtId="167" fontId="40" fillId="0" borderId="0" xfId="0" applyNumberFormat="1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right" vertical="center"/>
    </xf>
    <xf numFmtId="167" fontId="35" fillId="0" borderId="40" xfId="0" applyNumberFormat="1" applyFont="1" applyFill="1" applyBorder="1" applyAlignment="1">
      <alignment horizontal="center" vertical="center"/>
    </xf>
    <xf numFmtId="167" fontId="35" fillId="30" borderId="0" xfId="0" applyNumberFormat="1" applyFont="1" applyFill="1" applyBorder="1" applyAlignment="1">
      <alignment horizontal="center" vertical="center"/>
    </xf>
    <xf numFmtId="167" fontId="30" fillId="0" borderId="0" xfId="37" applyNumberFormat="1" applyFont="1" applyFill="1" applyBorder="1" applyAlignment="1">
      <alignment horizontal="center" vertical="center"/>
    </xf>
    <xf numFmtId="167" fontId="30" fillId="0" borderId="0" xfId="37" applyNumberFormat="1" applyFont="1" applyFill="1" applyAlignment="1">
      <alignment horizontal="center" vertical="center"/>
    </xf>
    <xf numFmtId="0" fontId="31" fillId="25" borderId="18" xfId="0" applyFont="1" applyFill="1" applyBorder="1" applyAlignment="1"/>
    <xf numFmtId="0" fontId="31" fillId="25" borderId="19" xfId="0" applyFont="1" applyFill="1" applyBorder="1" applyAlignment="1"/>
    <xf numFmtId="4" fontId="30" fillId="0" borderId="18" xfId="0" applyNumberFormat="1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center" vertical="center"/>
    </xf>
    <xf numFmtId="167" fontId="30" fillId="0" borderId="23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167" fontId="30" fillId="24" borderId="27" xfId="0" applyNumberFormat="1" applyFont="1" applyFill="1" applyBorder="1" applyAlignment="1">
      <alignment horizontal="center" vertical="center"/>
    </xf>
    <xf numFmtId="167" fontId="30" fillId="24" borderId="23" xfId="0" applyNumberFormat="1" applyFont="1" applyFill="1" applyBorder="1" applyAlignment="1">
      <alignment horizontal="center" vertical="center"/>
    </xf>
    <xf numFmtId="167" fontId="30" fillId="24" borderId="32" xfId="0" applyNumberFormat="1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30" borderId="19" xfId="0" applyFont="1" applyFill="1" applyBorder="1" applyAlignment="1">
      <alignment horizontal="center" vertical="center" wrapText="1"/>
    </xf>
    <xf numFmtId="167" fontId="30" fillId="30" borderId="22" xfId="0" applyNumberFormat="1" applyFont="1" applyFill="1" applyBorder="1" applyAlignment="1">
      <alignment horizontal="center" vertical="center"/>
    </xf>
    <xf numFmtId="167" fontId="30" fillId="0" borderId="41" xfId="0" applyNumberFormat="1" applyFont="1" applyFill="1" applyBorder="1" applyAlignment="1">
      <alignment horizontal="center" vertical="center"/>
    </xf>
    <xf numFmtId="167" fontId="30" fillId="0" borderId="30" xfId="0" applyNumberFormat="1" applyFont="1" applyFill="1" applyBorder="1" applyAlignment="1">
      <alignment horizontal="center" vertical="center"/>
    </xf>
    <xf numFmtId="167" fontId="31" fillId="25" borderId="0" xfId="0" applyNumberFormat="1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167" fontId="35" fillId="25" borderId="0" xfId="0" applyNumberFormat="1" applyFont="1" applyFill="1" applyBorder="1" applyAlignment="1">
      <alignment horizontal="center" vertical="center"/>
    </xf>
    <xf numFmtId="167" fontId="30" fillId="25" borderId="0" xfId="0" applyNumberFormat="1" applyFont="1" applyFill="1" applyBorder="1" applyAlignment="1">
      <alignment horizontal="center" vertical="center"/>
    </xf>
    <xf numFmtId="167" fontId="30" fillId="0" borderId="32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 wrapText="1"/>
    </xf>
    <xf numFmtId="167" fontId="30" fillId="0" borderId="31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4" fontId="35" fillId="24" borderId="11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center" vertical="center"/>
    </xf>
    <xf numFmtId="4" fontId="30" fillId="0" borderId="26" xfId="0" applyNumberFormat="1" applyFont="1" applyFill="1" applyBorder="1" applyAlignment="1">
      <alignment horizontal="center" vertical="center"/>
    </xf>
    <xf numFmtId="167" fontId="30" fillId="0" borderId="0" xfId="38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/>
    <xf numFmtId="167" fontId="30" fillId="0" borderId="22" xfId="37" applyNumberFormat="1" applyFont="1" applyFill="1" applyBorder="1" applyAlignment="1">
      <alignment horizontal="center" vertical="center"/>
    </xf>
    <xf numFmtId="167" fontId="30" fillId="0" borderId="27" xfId="37" applyNumberFormat="1" applyFont="1" applyFill="1" applyBorder="1" applyAlignment="1">
      <alignment horizontal="center" vertical="center"/>
    </xf>
    <xf numFmtId="4" fontId="30" fillId="0" borderId="27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 wrapText="1"/>
    </xf>
    <xf numFmtId="167" fontId="4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4" fillId="0" borderId="0" xfId="43" applyFont="1" applyFill="1" applyBorder="1" applyAlignment="1">
      <alignment horizontal="center" vertical="center" wrapText="1"/>
    </xf>
    <xf numFmtId="0" fontId="32" fillId="0" borderId="0" xfId="43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67" fontId="32" fillId="0" borderId="0" xfId="0" applyNumberFormat="1" applyFont="1" applyFill="1" applyBorder="1" applyAlignment="1">
      <alignment horizontal="center" vertical="center"/>
    </xf>
    <xf numFmtId="167" fontId="32" fillId="0" borderId="0" xfId="0" applyNumberFormat="1" applyFont="1" applyFill="1" applyAlignment="1">
      <alignment horizontal="center" vertical="center"/>
    </xf>
    <xf numFmtId="167" fontId="38" fillId="0" borderId="0" xfId="0" applyNumberFormat="1" applyFont="1" applyFill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right" vertical="center"/>
    </xf>
    <xf numFmtId="167" fontId="38" fillId="0" borderId="12" xfId="0" applyNumberFormat="1" applyFont="1" applyFill="1" applyBorder="1" applyAlignment="1">
      <alignment horizontal="center" vertical="center"/>
    </xf>
    <xf numFmtId="167" fontId="30" fillId="0" borderId="29" xfId="0" applyNumberFormat="1" applyFont="1" applyFill="1" applyBorder="1" applyAlignment="1">
      <alignment horizontal="center" vertical="center"/>
    </xf>
    <xf numFmtId="167" fontId="30" fillId="0" borderId="43" xfId="0" applyNumberFormat="1" applyFont="1" applyFill="1" applyBorder="1" applyAlignment="1">
      <alignment horizontal="center" vertical="center"/>
    </xf>
    <xf numFmtId="167" fontId="30" fillId="0" borderId="45" xfId="0" applyNumberFormat="1" applyFont="1" applyFill="1" applyBorder="1" applyAlignment="1">
      <alignment horizontal="center" vertical="center"/>
    </xf>
    <xf numFmtId="167" fontId="30" fillId="0" borderId="46" xfId="0" applyNumberFormat="1" applyFont="1" applyFill="1" applyBorder="1" applyAlignment="1">
      <alignment horizontal="center" vertical="center"/>
    </xf>
    <xf numFmtId="167" fontId="30" fillId="0" borderId="4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/>
    <xf numFmtId="167" fontId="32" fillId="0" borderId="0" xfId="0" applyNumberFormat="1" applyFont="1" applyFill="1"/>
    <xf numFmtId="167" fontId="42" fillId="0" borderId="47" xfId="0" applyNumberFormat="1" applyFont="1" applyFill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0" fontId="40" fillId="24" borderId="44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 wrapText="1"/>
    </xf>
    <xf numFmtId="0" fontId="2" fillId="0" borderId="0" xfId="0" applyFont="1"/>
    <xf numFmtId="0" fontId="45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1" fillId="32" borderId="34" xfId="48" applyBorder="1" applyAlignment="1">
      <alignment horizontal="center" vertical="center" wrapText="1"/>
    </xf>
    <xf numFmtId="167" fontId="1" fillId="32" borderId="0" xfId="48" applyNumberFormat="1" applyBorder="1" applyAlignment="1">
      <alignment horizontal="center" vertical="center"/>
    </xf>
    <xf numFmtId="167" fontId="1" fillId="32" borderId="34" xfId="48" applyNumberFormat="1" applyBorder="1" applyAlignment="1">
      <alignment horizontal="center" vertical="center"/>
    </xf>
    <xf numFmtId="167" fontId="1" fillId="32" borderId="32" xfId="48" applyNumberFormat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167" fontId="35" fillId="0" borderId="47" xfId="0" applyNumberFormat="1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right" vertical="center"/>
    </xf>
    <xf numFmtId="167" fontId="35" fillId="0" borderId="31" xfId="0" applyNumberFormat="1" applyFont="1" applyFill="1" applyBorder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 wrapText="1"/>
    </xf>
    <xf numFmtId="167" fontId="30" fillId="0" borderId="27" xfId="0" applyNumberFormat="1" applyFont="1" applyBorder="1" applyAlignment="1">
      <alignment horizontal="center" vertical="center"/>
    </xf>
    <xf numFmtId="0" fontId="22" fillId="0" borderId="0" xfId="0" applyFont="1"/>
    <xf numFmtId="167" fontId="32" fillId="0" borderId="47" xfId="0" applyNumberFormat="1" applyFont="1" applyFill="1" applyBorder="1" applyAlignment="1">
      <alignment horizontal="center" vertical="center"/>
    </xf>
    <xf numFmtId="167" fontId="30" fillId="0" borderId="44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2" fillId="0" borderId="28" xfId="0" applyFont="1" applyFill="1" applyBorder="1" applyAlignment="1">
      <alignment horizontal="left" wrapText="1"/>
    </xf>
    <xf numFmtId="167" fontId="30" fillId="30" borderId="30" xfId="0" applyNumberFormat="1" applyFont="1" applyFill="1" applyBorder="1" applyAlignment="1">
      <alignment horizontal="center" vertical="center"/>
    </xf>
    <xf numFmtId="167" fontId="30" fillId="30" borderId="29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0" fillId="34" borderId="0" xfId="0" applyFont="1" applyFill="1" applyBorder="1" applyAlignment="1">
      <alignment horizontal="center" vertical="center"/>
    </xf>
    <xf numFmtId="167" fontId="30" fillId="34" borderId="0" xfId="0" applyNumberFormat="1" applyFont="1" applyFill="1" applyBorder="1" applyAlignment="1">
      <alignment horizontal="center" vertical="center"/>
    </xf>
    <xf numFmtId="0" fontId="32" fillId="34" borderId="0" xfId="0" applyFont="1" applyFill="1" applyAlignment="1">
      <alignment horizontal="left" vertical="center" wrapText="1"/>
    </xf>
    <xf numFmtId="0" fontId="30" fillId="34" borderId="0" xfId="0" applyFont="1" applyFill="1" applyAlignment="1">
      <alignment horizontal="center" vertical="center" wrapText="1"/>
    </xf>
    <xf numFmtId="167" fontId="30" fillId="0" borderId="18" xfId="0" applyNumberFormat="1" applyFont="1" applyFill="1" applyBorder="1" applyAlignment="1">
      <alignment horizontal="center" vertical="center"/>
    </xf>
    <xf numFmtId="167" fontId="30" fillId="0" borderId="33" xfId="0" applyNumberFormat="1" applyFont="1" applyFill="1" applyBorder="1" applyAlignment="1">
      <alignment horizontal="center" vertical="center"/>
    </xf>
    <xf numFmtId="167" fontId="30" fillId="0" borderId="0" xfId="0" applyNumberFormat="1" applyFont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165" fontId="30" fillId="0" borderId="0" xfId="38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0" fillId="34" borderId="2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2" fontId="32" fillId="33" borderId="17" xfId="0" applyNumberFormat="1" applyFont="1" applyFill="1" applyBorder="1" applyAlignment="1">
      <alignment horizontal="left" vertical="center" wrapText="1"/>
    </xf>
    <xf numFmtId="0" fontId="30" fillId="33" borderId="2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 wrapText="1"/>
    </xf>
    <xf numFmtId="167" fontId="30" fillId="33" borderId="20" xfId="0" applyNumberFormat="1" applyFont="1" applyFill="1" applyBorder="1" applyAlignment="1">
      <alignment horizontal="center" vertical="center"/>
    </xf>
    <xf numFmtId="167" fontId="30" fillId="33" borderId="17" xfId="0" applyNumberFormat="1" applyFont="1" applyFill="1" applyBorder="1" applyAlignment="1">
      <alignment horizontal="center" vertical="center"/>
    </xf>
    <xf numFmtId="167" fontId="30" fillId="33" borderId="33" xfId="0" applyNumberFormat="1" applyFont="1" applyFill="1" applyBorder="1" applyAlignment="1">
      <alignment horizontal="center" vertical="center"/>
    </xf>
    <xf numFmtId="167" fontId="30" fillId="33" borderId="18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 shrinkToFit="1"/>
    </xf>
    <xf numFmtId="165" fontId="32" fillId="0" borderId="0" xfId="38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right" vertical="center"/>
    </xf>
    <xf numFmtId="0" fontId="30" fillId="0" borderId="0" xfId="0" applyFont="1"/>
    <xf numFmtId="0" fontId="35" fillId="0" borderId="0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left" vertical="center"/>
    </xf>
    <xf numFmtId="0" fontId="38" fillId="25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30" fillId="30" borderId="18" xfId="0" applyFont="1" applyFill="1" applyBorder="1" applyAlignment="1">
      <alignment horizontal="center" vertical="center" wrapText="1"/>
    </xf>
    <xf numFmtId="165" fontId="43" fillId="0" borderId="0" xfId="38" applyFont="1" applyFill="1" applyAlignment="1">
      <alignment horizontal="center"/>
    </xf>
    <xf numFmtId="0" fontId="46" fillId="0" borderId="0" xfId="0" applyFont="1" applyFill="1" applyAlignment="1">
      <alignment vertical="center"/>
    </xf>
    <xf numFmtId="165" fontId="48" fillId="25" borderId="0" xfId="38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vertical="center"/>
    </xf>
    <xf numFmtId="165" fontId="50" fillId="0" borderId="0" xfId="38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65" fontId="43" fillId="0" borderId="0" xfId="38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165" fontId="51" fillId="0" borderId="42" xfId="38" applyFont="1" applyFill="1" applyBorder="1" applyAlignment="1">
      <alignment horizontal="center" vertical="center"/>
    </xf>
    <xf numFmtId="167" fontId="46" fillId="0" borderId="14" xfId="0" applyNumberFormat="1" applyFont="1" applyFill="1" applyBorder="1" applyAlignment="1">
      <alignment horizontal="center" vertical="center"/>
    </xf>
    <xf numFmtId="165" fontId="43" fillId="0" borderId="0" xfId="38" applyFont="1" applyAlignment="1">
      <alignment horizontal="center"/>
    </xf>
    <xf numFmtId="0" fontId="46" fillId="0" borderId="0" xfId="0" applyFont="1" applyFill="1" applyAlignment="1">
      <alignment horizontal="right"/>
    </xf>
    <xf numFmtId="0" fontId="49" fillId="25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right" wrapText="1"/>
    </xf>
    <xf numFmtId="167" fontId="26" fillId="0" borderId="0" xfId="0" applyNumberFormat="1" applyFont="1" applyFill="1" applyBorder="1" applyAlignment="1">
      <alignment horizontal="right"/>
    </xf>
    <xf numFmtId="167" fontId="46" fillId="0" borderId="14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167" fontId="43" fillId="0" borderId="0" xfId="38" applyNumberFormat="1" applyFont="1" applyFill="1" applyBorder="1" applyAlignment="1">
      <alignment horizontal="right"/>
    </xf>
    <xf numFmtId="0" fontId="30" fillId="24" borderId="3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22" fillId="35" borderId="0" xfId="0" applyFont="1" applyFill="1"/>
    <xf numFmtId="165" fontId="35" fillId="0" borderId="0" xfId="38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167" fontId="26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67" fontId="35" fillId="0" borderId="30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Border="1" applyAlignment="1">
      <alignment vertical="center"/>
    </xf>
    <xf numFmtId="167" fontId="35" fillId="0" borderId="0" xfId="0" applyNumberFormat="1" applyFont="1" applyFill="1" applyAlignment="1">
      <alignment vertical="center"/>
    </xf>
    <xf numFmtId="167" fontId="35" fillId="0" borderId="1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7" fontId="35" fillId="30" borderId="17" xfId="0" applyNumberFormat="1" applyFont="1" applyFill="1" applyBorder="1" applyAlignment="1">
      <alignment horizontal="center" vertical="center"/>
    </xf>
    <xf numFmtId="167" fontId="35" fillId="0" borderId="38" xfId="0" applyNumberFormat="1" applyFont="1" applyFill="1" applyBorder="1" applyAlignment="1">
      <alignment horizontal="center" vertical="center"/>
    </xf>
    <xf numFmtId="167" fontId="30" fillId="30" borderId="38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right"/>
    </xf>
    <xf numFmtId="165" fontId="32" fillId="0" borderId="47" xfId="38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167" fontId="30" fillId="30" borderId="0" xfId="38" applyNumberFormat="1" applyFont="1" applyFill="1" applyBorder="1" applyAlignment="1">
      <alignment horizontal="center" vertical="center"/>
    </xf>
    <xf numFmtId="167" fontId="30" fillId="24" borderId="30" xfId="0" applyNumberFormat="1" applyFont="1" applyFill="1" applyBorder="1" applyAlignment="1">
      <alignment horizontal="center" vertical="center"/>
    </xf>
    <xf numFmtId="165" fontId="32" fillId="0" borderId="43" xfId="38" applyFont="1" applyFill="1" applyBorder="1" applyAlignment="1">
      <alignment horizontal="center" vertical="center"/>
    </xf>
    <xf numFmtId="167" fontId="25" fillId="0" borderId="43" xfId="0" applyNumberFormat="1" applyFont="1" applyFill="1" applyBorder="1" applyAlignment="1">
      <alignment horizontal="center" vertical="center"/>
    </xf>
    <xf numFmtId="167" fontId="32" fillId="0" borderId="43" xfId="0" applyNumberFormat="1" applyFont="1" applyFill="1" applyBorder="1" applyAlignment="1">
      <alignment horizontal="center" vertical="center"/>
    </xf>
    <xf numFmtId="167" fontId="53" fillId="31" borderId="13" xfId="47" applyNumberFormat="1" applyFont="1" applyBorder="1" applyAlignment="1">
      <alignment horizontal="center" vertical="center"/>
    </xf>
    <xf numFmtId="0" fontId="36" fillId="0" borderId="31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167" fontId="35" fillId="0" borderId="35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/>
    </xf>
    <xf numFmtId="167" fontId="35" fillId="34" borderId="0" xfId="0" applyNumberFormat="1" applyFont="1" applyFill="1" applyBorder="1" applyAlignment="1">
      <alignment horizontal="center" vertical="center"/>
    </xf>
    <xf numFmtId="167" fontId="30" fillId="34" borderId="32" xfId="0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left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/>
    </xf>
    <xf numFmtId="167" fontId="32" fillId="34" borderId="0" xfId="0" applyNumberFormat="1" applyFont="1" applyFill="1" applyBorder="1" applyAlignment="1">
      <alignment horizontal="center" vertical="center"/>
    </xf>
    <xf numFmtId="0" fontId="30" fillId="30" borderId="19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167" fontId="46" fillId="0" borderId="0" xfId="0" applyNumberFormat="1" applyFont="1" applyAlignment="1">
      <alignment horizontal="center" vertic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3" xfId="48" builtinId="38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uena" xfId="47" builtinId="26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illares" xfId="37" builtinId="3"/>
    <cellStyle name="Moneda" xfId="38" builtinId="4"/>
    <cellStyle name="Neutral" xfId="39" builtinId="28" customBuiltin="1"/>
    <cellStyle name="Normal" xfId="0" builtinId="0"/>
    <cellStyle name="Normal 2" xfId="46"/>
    <cellStyle name="Normal 3" xfId="40"/>
    <cellStyle name="Note" xfId="41"/>
    <cellStyle name="Output" xfId="42"/>
    <cellStyle name="Title" xfId="43"/>
    <cellStyle name="Total" xfId="44" builtinId="25" customBuiltin="1"/>
    <cellStyle name="Warning Text" xfId="45"/>
  </cellStyles>
  <dxfs count="15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6600"/>
      <color rgb="FFFFFFFF"/>
      <color rgb="FFFFFFCC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4\1ER%20QUINCENA%20ENERO%2024\1ER%20%20QUINCENA%20ENERO%202024%20%20FIRMAS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1ER%20NOMINA%20SEP\1ER%20%20QUINCENA%20SEPTIEMBRE%20%20%20%202022,%20FIRMA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ownloads\1RA%20QUINCENA%20MAR%20%202022%20FIRMA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3\2DA%20NOMINA%20DE%20SEPTIEMBRE%202023\2DA%20%20QUINCENA%20SEPTIEMBRE%20%202023%20FIRM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2DA%20QUINCENA%20FEB%2023\2DA%20%20%20QUINCENA%20FEB%20%20%202023,%20FIRMA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ownloads\2DA%20QUINCENA%20ENERO%20%20%202022%20FIRMAS%20ok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4\1ER.%20QUINCENA%20MARZO%2024\1ER%20%20QUINCENA%20MARZO%202024%20%20FIRMA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1RA%20QUINCENA%20NOV21\1RA%20QUINCENA%20NOVIEMBRE%20%202021%20FIRMA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2DA%20QUINCENA%20FEBRERO%202022\2DA%20QUINCENA%20FEB%20%20%202022%20FIRMA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2DA%20QUINC%20MAR\2DA%20%20QUINCENA%20MAR%20%202022%20FIRMA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4\2DA%20QUINCENA%20ABRIL%202024\2DA.%20%20%20%20QUINCENA%20ABRIL%20%202024%20%20FIRMA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1ER%20QUINCENA%20OCT21\1RA%20QUINCENA%20DE%20OCTUBRE%202021,%20FIRMAS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1ER%20QUINCENA%20OCTUBRE%202022\1ER%20%20%20QUINCENA%20OCTUBRE%20%20%202022,%20FIRMAS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4\1ER%20QUINCENA%20FEBRERO%202024\1ER%20%20%20QUINCENA%20FEBRERO%202024%20%20FIRMAS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2DA%20QUINCENA%20ABRIL%202023\2DA%20QUINCENA%20ABRIL%202023,%20FIRMAS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3\1ER%20QUINCENA%20OCTUBRE%202023\1ER%20%20%20QUINCENA%20OCTUBRE%20%202023%20FIRMAS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2DA%20QUINCENA%20MAYO%2023\2DA%20%20QUINCENA%20MAYO%202023,%20FIRMA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1ER%20QUINCENA%20MARZO%2023\1ER%20%20%20%20QUINCENA%20MAR%20%20%20%202023,%20FIRMA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2DA%20QUINCENA%20OCTUBRE%202022\2DA%20%20%20QUINCENA%20OCTUBRE%20%20%202022,%20FIRMAS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3\2DA%20QUINCENA%20NOVIEMBRE%202023\2DA%20%20%20QUINCENA%20NOVIEMBRE%20%202023%20FIRMAS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3\1ER%20QUINCENA%20NOVIEMBRE%202023\1ER%20%20QUINCENA%20NOVIEMBRE%20%202023%20FIRMAS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3\2DA%20QUINCENA%20OCTUBRE%202023\2DA%20QUINCENA%20OCTUBRE%20%202023%20FIRMA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4\1ER.%20QUINCENA%20ABRIL%202024\1ER%20%20%20%20QUINCENA%20ABRIL%20%202024%20%20FIRMA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4\2DA%20QUINCENA%20ENERO%2024\2DA%20%20QUINCENA%20ENERO%202024%20%20FIRMA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NOMINAS%202023\2DA%20QUINCENA%20DE%20JULIO%2023\2DA%20QUINCENA%20%20%20JUNIO%20%202023,%20FIRMAS%20AUTOMATIC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1ER%20QUINCENA%20ENERO%202023\1ER%20%20%20QUINCENA%20DICIEMBRE%20%20%202022,%20FIRMA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NOMINAS%20OCT-DIC%202021\2DA%20QUIN%20DIC%202021\2DA%20QUINCENA%20DICIEMBRE%20%20%202021%20FIRMAS%20ok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esktop\2DA%20QUINCENA%20ABRIL%202022\2DA%20QUINCENA%20ABRIL%20%20%202022%20FIRMA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1\Desktop\1ER%20QUINCENA%20NOV%202022\1ER%20%20%20QUINCENA%20NOV%20%20%202022,%20FIRM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15">
          <cell r="H15">
            <v>111880.25572500002</v>
          </cell>
          <cell r="I15">
            <v>4507.0971750000008</v>
          </cell>
        </row>
        <row r="22">
          <cell r="I22">
            <v>1573.9069500000001</v>
          </cell>
        </row>
        <row r="30">
          <cell r="H30">
            <v>28636.191674999998</v>
          </cell>
          <cell r="I30">
            <v>1360.3416750000004</v>
          </cell>
        </row>
        <row r="39">
          <cell r="H39">
            <v>40834.787174999998</v>
          </cell>
          <cell r="I39">
            <v>1861.1302500000004</v>
          </cell>
        </row>
        <row r="57">
          <cell r="H57">
            <v>57433.57987500001</v>
          </cell>
          <cell r="I57">
            <v>1816.6884750000004</v>
          </cell>
        </row>
        <row r="64">
          <cell r="H64">
            <v>15077.191500000001</v>
          </cell>
          <cell r="I64">
            <v>476.94150000000002</v>
          </cell>
        </row>
        <row r="99">
          <cell r="H99">
            <v>48238.608600000007</v>
          </cell>
          <cell r="I99">
            <v>958.55760000000009</v>
          </cell>
        </row>
        <row r="106">
          <cell r="H106">
            <v>5250</v>
          </cell>
        </row>
        <row r="118">
          <cell r="H118">
            <v>26205.399675000001</v>
          </cell>
          <cell r="I118">
            <v>505.65060000000011</v>
          </cell>
        </row>
        <row r="130">
          <cell r="H130">
            <v>31713.349500000008</v>
          </cell>
          <cell r="I130">
            <v>504.90340000000003</v>
          </cell>
        </row>
        <row r="159">
          <cell r="H159">
            <v>17190.070800000001</v>
          </cell>
          <cell r="I159">
            <v>505.65060000000011</v>
          </cell>
        </row>
        <row r="166">
          <cell r="H166">
            <v>8031.933</v>
          </cell>
          <cell r="I166">
            <v>180.01620000000003</v>
          </cell>
        </row>
        <row r="185">
          <cell r="H185">
            <v>49838.115600000005</v>
          </cell>
          <cell r="I185">
            <v>1577.7216000000003</v>
          </cell>
        </row>
        <row r="207">
          <cell r="L207">
            <v>0</v>
          </cell>
        </row>
        <row r="247">
          <cell r="H247">
            <v>21080.241000000002</v>
          </cell>
          <cell r="I247">
            <v>505.65060000000011</v>
          </cell>
        </row>
        <row r="257">
          <cell r="H257">
            <v>26225.101350000004</v>
          </cell>
          <cell r="I257">
            <v>1092.1989750000002</v>
          </cell>
        </row>
        <row r="302">
          <cell r="H302">
            <v>23870.777175000003</v>
          </cell>
          <cell r="I302">
            <v>839.43510000000003</v>
          </cell>
        </row>
        <row r="328">
          <cell r="I328">
            <v>1702.7010000000002</v>
          </cell>
        </row>
        <row r="333">
          <cell r="H333">
            <v>7343.9730000000009</v>
          </cell>
          <cell r="I333">
            <v>209.82780000000002</v>
          </cell>
        </row>
        <row r="343">
          <cell r="H343">
            <v>43029.604800000001</v>
          </cell>
          <cell r="I343">
            <v>673.92517500000008</v>
          </cell>
        </row>
        <row r="349">
          <cell r="H349">
            <v>16922.669400000002</v>
          </cell>
          <cell r="I349">
            <v>411.58530000000007</v>
          </cell>
        </row>
        <row r="369">
          <cell r="I369">
            <v>211.84537500000002</v>
          </cell>
        </row>
        <row r="380">
          <cell r="H380">
            <v>45140.634525000009</v>
          </cell>
          <cell r="I380">
            <v>469.20195000000012</v>
          </cell>
        </row>
        <row r="384">
          <cell r="H384">
            <v>4064.4213750000008</v>
          </cell>
        </row>
        <row r="399">
          <cell r="I399">
            <v>722.43517500000007</v>
          </cell>
        </row>
        <row r="408">
          <cell r="H408">
            <v>15953.549850000003</v>
          </cell>
          <cell r="I408">
            <v>252.25200000000001</v>
          </cell>
        </row>
        <row r="423">
          <cell r="I423">
            <v>561.83400000000006</v>
          </cell>
        </row>
        <row r="438">
          <cell r="H438">
            <v>42821.141475000004</v>
          </cell>
          <cell r="I438">
            <v>462.07980000000003</v>
          </cell>
        </row>
        <row r="443">
          <cell r="H443">
            <v>7387.5768750000007</v>
          </cell>
        </row>
        <row r="506">
          <cell r="H506">
            <v>2533.9860000000003</v>
          </cell>
        </row>
      </sheetData>
      <sheetData sheetId="2">
        <row r="23">
          <cell r="I23">
            <v>317.07900000000001</v>
          </cell>
        </row>
      </sheetData>
      <sheetData sheetId="3">
        <row r="34">
          <cell r="I34">
            <v>505.6506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33">
          <cell r="H33">
            <v>25973.87</v>
          </cell>
        </row>
        <row r="89">
          <cell r="J89">
            <v>0</v>
          </cell>
        </row>
        <row r="110">
          <cell r="J110">
            <v>360</v>
          </cell>
        </row>
        <row r="220">
          <cell r="J220">
            <v>0</v>
          </cell>
        </row>
        <row r="249">
          <cell r="J249">
            <v>232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32">
          <cell r="L32">
            <v>800</v>
          </cell>
        </row>
        <row r="97">
          <cell r="J9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113">
          <cell r="I113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4">
          <cell r="H24">
            <v>38502.786</v>
          </cell>
        </row>
        <row r="129">
          <cell r="J129">
            <v>424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L15">
            <v>0</v>
          </cell>
        </row>
        <row r="141">
          <cell r="J141">
            <v>360</v>
          </cell>
        </row>
        <row r="154">
          <cell r="J154">
            <v>230</v>
          </cell>
        </row>
      </sheetData>
      <sheetData sheetId="2" refreshError="1">
        <row r="25">
          <cell r="H25">
            <v>72812.27</v>
          </cell>
          <cell r="K25">
            <v>0</v>
          </cell>
        </row>
      </sheetData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86">
          <cell r="H86">
            <v>3360</v>
          </cell>
        </row>
        <row r="142">
          <cell r="H142">
            <v>38303.496000000006</v>
          </cell>
          <cell r="I142">
            <v>2091.3984000000005</v>
          </cell>
        </row>
        <row r="150">
          <cell r="H150">
            <v>6855.84</v>
          </cell>
          <cell r="I150">
            <v>0</v>
          </cell>
        </row>
        <row r="205">
          <cell r="H205">
            <v>3900</v>
          </cell>
          <cell r="I205">
            <v>0</v>
          </cell>
          <cell r="M205">
            <v>3900</v>
          </cell>
        </row>
        <row r="421">
          <cell r="H421">
            <v>42988.511474999999</v>
          </cell>
          <cell r="J421">
            <v>669</v>
          </cell>
        </row>
        <row r="489">
          <cell r="H489">
            <v>200692.67242500006</v>
          </cell>
          <cell r="J489">
            <v>3344</v>
          </cell>
        </row>
        <row r="500">
          <cell r="H500">
            <v>25119.282375000003</v>
          </cell>
          <cell r="J500">
            <v>820</v>
          </cell>
          <cell r="K500">
            <v>126</v>
          </cell>
        </row>
      </sheetData>
      <sheetData sheetId="2"/>
      <sheetData sheetId="3">
        <row r="37">
          <cell r="J37">
            <v>1800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3">
          <cell r="H23">
            <v>28604</v>
          </cell>
        </row>
        <row r="163">
          <cell r="J163">
            <v>90</v>
          </cell>
        </row>
        <row r="203">
          <cell r="K203">
            <v>126</v>
          </cell>
        </row>
        <row r="262">
          <cell r="J262">
            <v>180</v>
          </cell>
        </row>
        <row r="320">
          <cell r="H320">
            <v>0</v>
          </cell>
          <cell r="J320">
            <v>0</v>
          </cell>
          <cell r="M32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90">
          <cell r="J90">
            <v>90</v>
          </cell>
        </row>
        <row r="177">
          <cell r="J177">
            <v>0</v>
          </cell>
        </row>
        <row r="266">
          <cell r="J266">
            <v>0</v>
          </cell>
          <cell r="K266">
            <v>280</v>
          </cell>
        </row>
        <row r="275">
          <cell r="J27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10">
          <cell r="H110">
            <v>46251.920000000006</v>
          </cell>
        </row>
        <row r="184">
          <cell r="H184">
            <v>0</v>
          </cell>
          <cell r="I184">
            <v>0</v>
          </cell>
          <cell r="M184">
            <v>0</v>
          </cell>
        </row>
      </sheetData>
      <sheetData sheetId="2" refreshError="1"/>
      <sheetData sheetId="3" refreshError="1">
        <row r="31">
          <cell r="I31">
            <v>458.64</v>
          </cell>
          <cell r="K31">
            <v>0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198">
          <cell r="H198">
            <v>75529.275624999995</v>
          </cell>
          <cell r="I198">
            <v>2288.6275000000005</v>
          </cell>
          <cell r="M198">
            <v>73366.648125000007</v>
          </cell>
        </row>
        <row r="227">
          <cell r="H227">
            <v>70066.876499999998</v>
          </cell>
          <cell r="I227">
            <v>620.25487499999997</v>
          </cell>
          <cell r="J227">
            <v>1526</v>
          </cell>
          <cell r="M227">
            <v>71098.621625</v>
          </cell>
        </row>
        <row r="263">
          <cell r="H263">
            <v>37611.236250000009</v>
          </cell>
          <cell r="I263">
            <v>1273.3875</v>
          </cell>
          <cell r="K263">
            <v>875</v>
          </cell>
        </row>
        <row r="293">
          <cell r="H293">
            <v>89866.428750000006</v>
          </cell>
          <cell r="I293">
            <v>1604.4682500000001</v>
          </cell>
          <cell r="K293">
            <v>1764</v>
          </cell>
          <cell r="M293">
            <v>90025.960500000001</v>
          </cell>
        </row>
      </sheetData>
      <sheetData sheetId="2">
        <row r="24">
          <cell r="H24">
            <v>73284.911000000007</v>
          </cell>
        </row>
      </sheetData>
      <sheetData sheetId="3">
        <row r="37">
          <cell r="H37">
            <v>140808.65767499997</v>
          </cell>
          <cell r="J37">
            <v>1710</v>
          </cell>
          <cell r="M37">
            <v>142013.00707499994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H15">
            <v>98523</v>
          </cell>
          <cell r="J15">
            <v>0</v>
          </cell>
          <cell r="K15">
            <v>0</v>
          </cell>
        </row>
        <row r="23">
          <cell r="K23">
            <v>0</v>
          </cell>
        </row>
        <row r="31">
          <cell r="J31">
            <v>0</v>
          </cell>
          <cell r="K31">
            <v>0</v>
          </cell>
        </row>
        <row r="41">
          <cell r="J41">
            <v>0</v>
          </cell>
          <cell r="K41">
            <v>0</v>
          </cell>
        </row>
        <row r="60">
          <cell r="K60">
            <v>0</v>
          </cell>
        </row>
        <row r="67">
          <cell r="J67">
            <v>0</v>
          </cell>
          <cell r="K67">
            <v>0</v>
          </cell>
        </row>
        <row r="75">
          <cell r="J75">
            <v>90</v>
          </cell>
          <cell r="K75">
            <v>0</v>
          </cell>
        </row>
        <row r="90">
          <cell r="K90">
            <v>0</v>
          </cell>
        </row>
        <row r="105">
          <cell r="K105">
            <v>0</v>
          </cell>
        </row>
        <row r="113">
          <cell r="J113">
            <v>0</v>
          </cell>
          <cell r="K113">
            <v>0</v>
          </cell>
        </row>
        <row r="124">
          <cell r="K124">
            <v>0</v>
          </cell>
        </row>
        <row r="135">
          <cell r="K135">
            <v>0</v>
          </cell>
        </row>
        <row r="147">
          <cell r="K147">
            <v>0</v>
          </cell>
        </row>
        <row r="155">
          <cell r="J155">
            <v>0</v>
          </cell>
          <cell r="K155">
            <v>0</v>
          </cell>
        </row>
        <row r="162">
          <cell r="K162">
            <v>0</v>
          </cell>
        </row>
        <row r="170">
          <cell r="K170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</row>
        <row r="187">
          <cell r="K187">
            <v>0</v>
          </cell>
        </row>
        <row r="200">
          <cell r="J200">
            <v>0</v>
          </cell>
        </row>
        <row r="216">
          <cell r="K216">
            <v>0</v>
          </cell>
        </row>
        <row r="256">
          <cell r="K256">
            <v>0</v>
          </cell>
        </row>
        <row r="306">
          <cell r="J306">
            <v>0</v>
          </cell>
          <cell r="K306">
            <v>0</v>
          </cell>
        </row>
        <row r="313">
          <cell r="I313">
            <v>0</v>
          </cell>
          <cell r="K313">
            <v>0</v>
          </cell>
          <cell r="L313">
            <v>0</v>
          </cell>
        </row>
        <row r="352">
          <cell r="K352">
            <v>0</v>
          </cell>
        </row>
        <row r="358">
          <cell r="J358">
            <v>200</v>
          </cell>
          <cell r="K358">
            <v>0</v>
          </cell>
        </row>
        <row r="378">
          <cell r="K378">
            <v>0</v>
          </cell>
        </row>
        <row r="390">
          <cell r="J390">
            <v>480</v>
          </cell>
          <cell r="K390">
            <v>0</v>
          </cell>
        </row>
        <row r="394">
          <cell r="I394">
            <v>0</v>
          </cell>
          <cell r="J394">
            <v>130</v>
          </cell>
          <cell r="K394">
            <v>0</v>
          </cell>
        </row>
        <row r="436">
          <cell r="K436">
            <v>0</v>
          </cell>
        </row>
        <row r="452">
          <cell r="K452">
            <v>0</v>
          </cell>
        </row>
        <row r="456">
          <cell r="I456">
            <v>0</v>
          </cell>
          <cell r="J456">
            <v>155</v>
          </cell>
          <cell r="K456">
            <v>0</v>
          </cell>
        </row>
        <row r="502">
          <cell r="K502">
            <v>0</v>
          </cell>
        </row>
        <row r="513">
          <cell r="I513">
            <v>0</v>
          </cell>
        </row>
        <row r="521">
          <cell r="I521">
            <v>0</v>
          </cell>
          <cell r="J521">
            <v>165</v>
          </cell>
          <cell r="K521">
            <v>0</v>
          </cell>
        </row>
      </sheetData>
      <sheetData sheetId="2" refreshError="1">
        <row r="18">
          <cell r="J18">
            <v>815</v>
          </cell>
        </row>
        <row r="19">
          <cell r="K19">
            <v>0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87">
          <cell r="H87">
            <v>6800.1040000000003</v>
          </cell>
        </row>
        <row r="239">
          <cell r="K239">
            <v>126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237">
          <cell r="H237">
            <v>17122.894425000002</v>
          </cell>
          <cell r="I237">
            <v>252.25200000000001</v>
          </cell>
        </row>
      </sheetData>
      <sheetData sheetId="2"/>
      <sheetData sheetId="3">
        <row r="34">
          <cell r="J34">
            <v>1530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83">
          <cell r="J283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337">
          <cell r="J337">
            <v>691</v>
          </cell>
          <cell r="K337">
            <v>0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DICE"/>
      <sheetName val="MADRE"/>
      <sheetName val="EVENTUALES"/>
      <sheetName val="EVENTUALES SP"/>
      <sheetName val="COMPENSACION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62">
          <cell r="H162">
            <v>15161.496000000001</v>
          </cell>
        </row>
        <row r="354">
          <cell r="J354">
            <v>548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282">
          <cell r="H282">
            <v>51628.500000000007</v>
          </cell>
        </row>
        <row r="406">
          <cell r="K406">
            <v>301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417">
          <cell r="J417">
            <v>215</v>
          </cell>
          <cell r="K417">
            <v>0</v>
          </cell>
        </row>
      </sheetData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447">
          <cell r="J447">
            <v>770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/>
      <sheetData sheetId="2">
        <row r="24">
          <cell r="J24">
            <v>520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15">
          <cell r="L15">
            <v>0</v>
          </cell>
          <cell r="M15">
            <v>107373.15854999999</v>
          </cell>
        </row>
        <row r="22">
          <cell r="L22">
            <v>0</v>
          </cell>
          <cell r="M22">
            <v>30908.08035</v>
          </cell>
        </row>
        <row r="30">
          <cell r="L30">
            <v>0</v>
          </cell>
          <cell r="M30">
            <v>27275.85</v>
          </cell>
        </row>
        <row r="39">
          <cell r="L39">
            <v>0</v>
          </cell>
          <cell r="M39">
            <v>38973.656925000003</v>
          </cell>
        </row>
        <row r="57">
          <cell r="L57">
            <v>0</v>
          </cell>
          <cell r="M57">
            <v>55796.8914</v>
          </cell>
        </row>
        <row r="64">
          <cell r="L64">
            <v>0</v>
          </cell>
          <cell r="M64">
            <v>14600.25</v>
          </cell>
        </row>
        <row r="79">
          <cell r="H79">
            <v>4420.1430000000009</v>
          </cell>
          <cell r="I79">
            <v>0</v>
          </cell>
          <cell r="L79">
            <v>0</v>
          </cell>
          <cell r="M79">
            <v>4510.1430000000009</v>
          </cell>
        </row>
        <row r="86">
          <cell r="H86">
            <v>11509.570800000001</v>
          </cell>
          <cell r="I86">
            <v>505.65</v>
          </cell>
          <cell r="L86">
            <v>0</v>
          </cell>
          <cell r="M86">
            <v>11003.920800000002</v>
          </cell>
        </row>
        <row r="99">
          <cell r="L99">
            <v>0</v>
          </cell>
          <cell r="M99">
            <v>47640.051000000007</v>
          </cell>
        </row>
        <row r="106">
          <cell r="L106">
            <v>0</v>
          </cell>
          <cell r="M106">
            <v>5250</v>
          </cell>
        </row>
        <row r="118">
          <cell r="L118">
            <v>0</v>
          </cell>
          <cell r="M118">
            <v>26123.749075</v>
          </cell>
        </row>
        <row r="130">
          <cell r="L130">
            <v>0</v>
          </cell>
          <cell r="M130">
            <v>31568.446100000005</v>
          </cell>
        </row>
        <row r="142">
          <cell r="L142">
            <v>0</v>
          </cell>
          <cell r="M142">
            <v>36442.097600000001</v>
          </cell>
        </row>
        <row r="150">
          <cell r="L150">
            <v>0</v>
          </cell>
          <cell r="M150">
            <v>6855.84</v>
          </cell>
        </row>
        <row r="158">
          <cell r="M158">
            <v>16774.4202</v>
          </cell>
        </row>
        <row r="165">
          <cell r="L165">
            <v>0</v>
          </cell>
          <cell r="M165">
            <v>7851.9168</v>
          </cell>
        </row>
        <row r="184">
          <cell r="L184">
            <v>0</v>
          </cell>
          <cell r="M184">
            <v>48440.394</v>
          </cell>
        </row>
        <row r="198">
          <cell r="L198">
            <v>0</v>
          </cell>
        </row>
        <row r="226">
          <cell r="L226">
            <v>0</v>
          </cell>
        </row>
        <row r="235">
          <cell r="L235">
            <v>0</v>
          </cell>
          <cell r="M235">
            <v>17102.642425000002</v>
          </cell>
        </row>
        <row r="244">
          <cell r="L244">
            <v>0</v>
          </cell>
          <cell r="M244">
            <v>20754.590400000001</v>
          </cell>
        </row>
        <row r="254">
          <cell r="L254">
            <v>0</v>
          </cell>
          <cell r="M254">
            <v>25412.902375000005</v>
          </cell>
        </row>
        <row r="261">
          <cell r="L261">
            <v>0</v>
          </cell>
        </row>
        <row r="273">
          <cell r="L273">
            <v>0</v>
          </cell>
        </row>
        <row r="293">
          <cell r="L293">
            <v>0</v>
          </cell>
        </row>
        <row r="302">
          <cell r="L302">
            <v>0</v>
          </cell>
          <cell r="M302">
            <v>23031.342075000004</v>
          </cell>
        </row>
        <row r="328">
          <cell r="H328">
            <v>74283.409199999995</v>
          </cell>
          <cell r="J328">
            <v>586</v>
          </cell>
          <cell r="L328">
            <v>0</v>
          </cell>
          <cell r="M328">
            <v>73166.708199999994</v>
          </cell>
        </row>
        <row r="333">
          <cell r="L333">
            <v>0</v>
          </cell>
          <cell r="M333">
            <v>7134.1452000000008</v>
          </cell>
        </row>
        <row r="343">
          <cell r="L343">
            <v>0</v>
          </cell>
          <cell r="M343">
            <v>42903.679624999997</v>
          </cell>
        </row>
        <row r="349">
          <cell r="L349">
            <v>0</v>
          </cell>
          <cell r="M349">
            <v>16711.084100000004</v>
          </cell>
        </row>
        <row r="369">
          <cell r="H369">
            <v>82527.796785000013</v>
          </cell>
          <cell r="J369">
            <v>1616</v>
          </cell>
          <cell r="L369">
            <v>0</v>
          </cell>
          <cell r="M369">
            <v>83931.951410000009</v>
          </cell>
        </row>
        <row r="380">
          <cell r="L380">
            <v>0</v>
          </cell>
          <cell r="M380">
            <v>45151.432575000006</v>
          </cell>
        </row>
        <row r="384">
          <cell r="L384">
            <v>0</v>
          </cell>
          <cell r="M384">
            <v>4194.4213750000008</v>
          </cell>
        </row>
        <row r="398">
          <cell r="H398">
            <v>39565.494675000009</v>
          </cell>
          <cell r="J398">
            <v>285</v>
          </cell>
          <cell r="L398">
            <v>0</v>
          </cell>
          <cell r="M398">
            <v>39429.05950000001</v>
          </cell>
        </row>
        <row r="407">
          <cell r="L407">
            <v>0</v>
          </cell>
          <cell r="M407">
            <v>15916.297850000003</v>
          </cell>
        </row>
        <row r="421">
          <cell r="L421">
            <v>0</v>
          </cell>
          <cell r="M421">
            <v>43095.677474999997</v>
          </cell>
        </row>
        <row r="436">
          <cell r="L436">
            <v>0</v>
          </cell>
          <cell r="M436">
            <v>43129.061675000004</v>
          </cell>
        </row>
        <row r="441">
          <cell r="M441">
            <v>7542.5768750000007</v>
          </cell>
        </row>
        <row r="442">
          <cell r="L442">
            <v>0</v>
          </cell>
        </row>
        <row r="489">
          <cell r="L489">
            <v>0</v>
          </cell>
          <cell r="M489">
            <v>204036.67242500008</v>
          </cell>
        </row>
        <row r="500">
          <cell r="L500">
            <v>0</v>
          </cell>
          <cell r="M500">
            <v>26065.282375000003</v>
          </cell>
        </row>
        <row r="508">
          <cell r="L508">
            <v>0</v>
          </cell>
          <cell r="M508">
            <v>2698.9860000000003</v>
          </cell>
        </row>
      </sheetData>
      <sheetData sheetId="2">
        <row r="24">
          <cell r="H24">
            <v>71300.411000000007</v>
          </cell>
        </row>
      </sheetData>
      <sheetData sheetId="3">
        <row r="37">
          <cell r="M37">
            <v>141085.03207499994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</sheetNames>
    <sheetDataSet>
      <sheetData sheetId="0"/>
      <sheetData sheetId="1">
        <row r="22">
          <cell r="H22">
            <v>32481.987300000001</v>
          </cell>
        </row>
        <row r="276">
          <cell r="H276">
            <v>64330.147349999992</v>
          </cell>
          <cell r="K276">
            <v>1403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  <sheetName val="PERSONAL AYUNTAMIENTO"/>
    </sheetNames>
    <sheetDataSet>
      <sheetData sheetId="0" refreshError="1"/>
      <sheetData sheetId="1" refreshError="1">
        <row r="15">
          <cell r="H15">
            <v>106552.62450000001</v>
          </cell>
        </row>
        <row r="22">
          <cell r="J22">
            <v>0</v>
          </cell>
        </row>
        <row r="194">
          <cell r="J194">
            <v>180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H15">
            <v>106552.62450000001</v>
          </cell>
        </row>
        <row r="59">
          <cell r="J59">
            <v>180</v>
          </cell>
        </row>
        <row r="73">
          <cell r="H73">
            <v>0</v>
          </cell>
          <cell r="I73">
            <v>0</v>
          </cell>
          <cell r="M73">
            <v>0</v>
          </cell>
        </row>
        <row r="502">
          <cell r="I502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66">
          <cell r="J66">
            <v>0</v>
          </cell>
          <cell r="K66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15">
          <cell r="L15">
            <v>0</v>
          </cell>
        </row>
        <row r="74">
          <cell r="L74">
            <v>0</v>
          </cell>
        </row>
        <row r="90">
          <cell r="L9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DRE"/>
      <sheetName val="EVENTUALES"/>
      <sheetName val="EVENTUALES SP"/>
      <sheetName val="COMPENSACIONES"/>
    </sheetNames>
    <sheetDataSet>
      <sheetData sheetId="0" refreshError="1"/>
      <sheetData sheetId="1" refreshError="1">
        <row r="87">
          <cell r="H87">
            <v>3.9999999999054126E-3</v>
          </cell>
          <cell r="I8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HG410"/>
  <sheetViews>
    <sheetView tabSelected="1" zoomScale="70" zoomScaleNormal="70" zoomScaleSheetLayoutView="85" zoomScalePageLayoutView="70" workbookViewId="0">
      <selection activeCell="H8" sqref="H8"/>
    </sheetView>
  </sheetViews>
  <sheetFormatPr baseColWidth="10" defaultColWidth="11.28515625" defaultRowHeight="12.75" customHeight="1"/>
  <cols>
    <col min="1" max="1" width="48.7109375" style="67" customWidth="1"/>
    <col min="2" max="2" width="27.7109375" style="53" customWidth="1"/>
    <col min="3" max="3" width="32" style="40" customWidth="1"/>
    <col min="4" max="4" width="23.7109375" style="40" customWidth="1"/>
    <col min="5" max="5" width="20" style="40" customWidth="1"/>
    <col min="6" max="6" width="23.5703125" style="40" customWidth="1"/>
    <col min="7" max="7" width="21.140625" style="40" customWidth="1"/>
    <col min="8" max="8" width="22.28515625" style="273" customWidth="1"/>
    <col min="9" max="9" width="19.42578125" style="40" customWidth="1"/>
    <col min="10" max="16384" width="11.28515625" style="1"/>
  </cols>
  <sheetData>
    <row r="1" spans="1:9" ht="15" customHeight="1">
      <c r="C1" s="27"/>
      <c r="E1" s="27"/>
      <c r="F1" s="53" t="s">
        <v>8</v>
      </c>
      <c r="G1" s="27"/>
      <c r="H1" s="27"/>
      <c r="I1" s="27"/>
    </row>
    <row r="2" spans="1:9" ht="15" customHeight="1">
      <c r="C2" s="27"/>
      <c r="E2" s="27"/>
      <c r="F2" s="53" t="s">
        <v>356</v>
      </c>
      <c r="G2" s="27"/>
      <c r="H2" s="27"/>
      <c r="I2" s="27"/>
    </row>
    <row r="3" spans="1:9" ht="15" customHeight="1">
      <c r="C3" s="27"/>
      <c r="E3" s="27"/>
      <c r="F3" s="53" t="s">
        <v>170</v>
      </c>
      <c r="G3" s="27"/>
      <c r="H3" s="27"/>
      <c r="I3" s="27"/>
    </row>
    <row r="4" spans="1:9" ht="15" customHeight="1">
      <c r="C4" s="27"/>
      <c r="E4" s="27"/>
      <c r="F4" s="53" t="s">
        <v>497</v>
      </c>
      <c r="G4" s="27"/>
      <c r="H4" s="27"/>
      <c r="I4" s="27"/>
    </row>
    <row r="5" spans="1:9" ht="15" customHeight="1">
      <c r="A5" s="25" t="s">
        <v>7</v>
      </c>
      <c r="B5" s="106"/>
      <c r="C5" s="28"/>
      <c r="D5" s="28"/>
      <c r="E5" s="28"/>
      <c r="F5" s="28" t="s">
        <v>286</v>
      </c>
      <c r="G5" s="28"/>
      <c r="H5" s="364"/>
      <c r="I5" s="28"/>
    </row>
    <row r="6" spans="1:9" s="7" customFormat="1" ht="39" customHeight="1">
      <c r="A6" s="26" t="s">
        <v>0</v>
      </c>
      <c r="B6" s="29" t="s">
        <v>199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216</v>
      </c>
      <c r="H6" s="29" t="s">
        <v>226</v>
      </c>
      <c r="I6" s="29" t="s">
        <v>5</v>
      </c>
    </row>
    <row r="7" spans="1:9" ht="45" customHeight="1">
      <c r="A7" s="60" t="s">
        <v>309</v>
      </c>
      <c r="B7" s="22" t="s">
        <v>200</v>
      </c>
      <c r="C7" s="22" t="s">
        <v>19</v>
      </c>
      <c r="D7" s="166">
        <f>10947*1.03*1.05*1.05</f>
        <v>12431.139525000001</v>
      </c>
      <c r="E7" s="166">
        <f>441*1.03*1.05*1.05</f>
        <v>500.78857500000004</v>
      </c>
      <c r="F7" s="167"/>
      <c r="G7" s="167"/>
      <c r="H7" s="168"/>
      <c r="I7" s="167">
        <f>D7-E7+F7+G7+H7</f>
        <v>11930.35095</v>
      </c>
    </row>
    <row r="8" spans="1:9" ht="45" customHeight="1">
      <c r="A8" s="60" t="s">
        <v>310</v>
      </c>
      <c r="B8" s="22" t="s">
        <v>200</v>
      </c>
      <c r="C8" s="22" t="s">
        <v>19</v>
      </c>
      <c r="D8" s="166">
        <f t="shared" ref="D8:D15" si="0">10947*1.03*1.05*1.05</f>
        <v>12431.139525000001</v>
      </c>
      <c r="E8" s="166">
        <f t="shared" ref="E8:E15" si="1">441*1.03*1.05*1.05</f>
        <v>500.78857500000004</v>
      </c>
      <c r="F8" s="167"/>
      <c r="G8" s="167"/>
      <c r="H8" s="168"/>
      <c r="I8" s="167">
        <f>D8-E8+F8+G8+H8</f>
        <v>11930.35095</v>
      </c>
    </row>
    <row r="9" spans="1:9" ht="45" customHeight="1">
      <c r="A9" s="297" t="s">
        <v>332</v>
      </c>
      <c r="B9" s="22" t="s">
        <v>200</v>
      </c>
      <c r="C9" s="22" t="s">
        <v>483</v>
      </c>
      <c r="D9" s="166">
        <f t="shared" si="0"/>
        <v>12431.139525000001</v>
      </c>
      <c r="E9" s="166">
        <f t="shared" si="1"/>
        <v>500.78857500000004</v>
      </c>
      <c r="F9" s="167"/>
      <c r="G9" s="167"/>
      <c r="H9" s="168"/>
      <c r="I9" s="167">
        <f>D9-E9+F9+G9+H9</f>
        <v>11930.35095</v>
      </c>
    </row>
    <row r="10" spans="1:9" ht="45" customHeight="1">
      <c r="A10" s="60" t="s">
        <v>312</v>
      </c>
      <c r="B10" s="22" t="s">
        <v>200</v>
      </c>
      <c r="C10" s="23" t="s">
        <v>248</v>
      </c>
      <c r="D10" s="166">
        <f t="shared" si="0"/>
        <v>12431.139525000001</v>
      </c>
      <c r="E10" s="166">
        <f t="shared" si="1"/>
        <v>500.78857500000004</v>
      </c>
      <c r="F10" s="167"/>
      <c r="G10" s="167"/>
      <c r="H10" s="168"/>
      <c r="I10" s="167">
        <f>D10-E10+F10+G10+H10</f>
        <v>11930.35095</v>
      </c>
    </row>
    <row r="11" spans="1:9" ht="45" customHeight="1">
      <c r="A11" s="60" t="s">
        <v>457</v>
      </c>
      <c r="B11" s="22" t="s">
        <v>200</v>
      </c>
      <c r="C11" s="22" t="s">
        <v>19</v>
      </c>
      <c r="D11" s="166">
        <f t="shared" si="0"/>
        <v>12431.139525000001</v>
      </c>
      <c r="E11" s="166">
        <f t="shared" si="1"/>
        <v>500.78857500000004</v>
      </c>
      <c r="F11" s="167"/>
      <c r="G11" s="167"/>
      <c r="H11" s="168"/>
      <c r="I11" s="167">
        <f>D11-E11+F11+G11+H11</f>
        <v>11930.35095</v>
      </c>
    </row>
    <row r="12" spans="1:9" ht="45" customHeight="1">
      <c r="A12" s="60" t="s">
        <v>482</v>
      </c>
      <c r="B12" s="22" t="s">
        <v>200</v>
      </c>
      <c r="C12" s="22" t="s">
        <v>483</v>
      </c>
      <c r="D12" s="166">
        <f t="shared" si="0"/>
        <v>12431.139525000001</v>
      </c>
      <c r="E12" s="166">
        <f t="shared" si="1"/>
        <v>500.78857500000004</v>
      </c>
      <c r="F12" s="167"/>
      <c r="G12" s="167"/>
      <c r="H12" s="168"/>
      <c r="I12" s="167">
        <f t="shared" ref="I12" si="2">D12-E12+F12+G12+H12</f>
        <v>11930.35095</v>
      </c>
    </row>
    <row r="13" spans="1:9" ht="45" customHeight="1">
      <c r="A13" s="60" t="s">
        <v>313</v>
      </c>
      <c r="B13" s="22" t="s">
        <v>200</v>
      </c>
      <c r="C13" s="23" t="s">
        <v>248</v>
      </c>
      <c r="D13" s="166">
        <f t="shared" si="0"/>
        <v>12431.139525000001</v>
      </c>
      <c r="E13" s="166">
        <f t="shared" si="1"/>
        <v>500.78857500000004</v>
      </c>
      <c r="F13" s="167"/>
      <c r="G13" s="167"/>
      <c r="H13" s="168"/>
      <c r="I13" s="167">
        <f>D13-E13+F13+G13+H13</f>
        <v>11930.35095</v>
      </c>
    </row>
    <row r="14" spans="1:9" ht="45" customHeight="1">
      <c r="A14" s="60" t="s">
        <v>314</v>
      </c>
      <c r="B14" s="22" t="s">
        <v>200</v>
      </c>
      <c r="C14" s="22" t="s">
        <v>19</v>
      </c>
      <c r="D14" s="166">
        <f t="shared" si="0"/>
        <v>12431.139525000001</v>
      </c>
      <c r="E14" s="166">
        <f t="shared" si="1"/>
        <v>500.78857500000004</v>
      </c>
      <c r="F14" s="167"/>
      <c r="G14" s="167"/>
      <c r="H14" s="168"/>
      <c r="I14" s="167">
        <f>D14-E14+F14+G14+H14</f>
        <v>11930.35095</v>
      </c>
    </row>
    <row r="15" spans="1:9" ht="45" customHeight="1" thickBot="1">
      <c r="A15" s="60" t="s">
        <v>315</v>
      </c>
      <c r="B15" s="22" t="s">
        <v>200</v>
      </c>
      <c r="C15" s="22" t="s">
        <v>19</v>
      </c>
      <c r="D15" s="269">
        <f t="shared" si="0"/>
        <v>12431.139525000001</v>
      </c>
      <c r="E15" s="269">
        <f t="shared" si="1"/>
        <v>500.78857500000004</v>
      </c>
      <c r="F15" s="275"/>
      <c r="G15" s="275"/>
      <c r="H15" s="369"/>
      <c r="I15" s="269">
        <f>D15-E15+F15+G15+H15</f>
        <v>11930.35095</v>
      </c>
    </row>
    <row r="16" spans="1:9" ht="25.5" customHeight="1" thickTop="1" thickBot="1">
      <c r="A16" s="24"/>
      <c r="B16" s="22"/>
      <c r="C16" s="53" t="s">
        <v>6</v>
      </c>
      <c r="D16" s="168">
        <f t="shared" ref="D16:H16" si="3">SUM(D7:D15)</f>
        <v>111880.25572500002</v>
      </c>
      <c r="E16" s="168">
        <f t="shared" si="3"/>
        <v>4507.0971750000008</v>
      </c>
      <c r="F16" s="168">
        <f t="shared" si="3"/>
        <v>0</v>
      </c>
      <c r="G16" s="168"/>
      <c r="H16" s="168">
        <f t="shared" si="3"/>
        <v>0</v>
      </c>
      <c r="I16" s="168">
        <f>SUM(I7:I15)</f>
        <v>107373.15854999999</v>
      </c>
    </row>
    <row r="17" spans="1:9" ht="25.5" customHeight="1" thickBot="1">
      <c r="A17" s="24"/>
      <c r="B17" s="107"/>
      <c r="C17" s="169" t="s">
        <v>206</v>
      </c>
      <c r="D17" s="170">
        <f>D16-[1]MADRE!$H$15</f>
        <v>0</v>
      </c>
      <c r="E17" s="170">
        <f>E16-[1]MADRE!$I$15</f>
        <v>0</v>
      </c>
      <c r="F17" s="170">
        <f>F16-[2]MADRE!J$15</f>
        <v>0</v>
      </c>
      <c r="G17" s="170">
        <f>G16-[2]MADRE!K$15</f>
        <v>0</v>
      </c>
      <c r="H17" s="170">
        <f>H16-[3]MADRE!$L$15</f>
        <v>0</v>
      </c>
      <c r="I17" s="170">
        <f>I16-[3]MADRE!$M$15</f>
        <v>0</v>
      </c>
    </row>
    <row r="18" spans="1:9" ht="15" customHeight="1">
      <c r="A18" s="54" t="s">
        <v>171</v>
      </c>
      <c r="B18" s="108"/>
      <c r="C18" s="30"/>
      <c r="D18" s="30"/>
      <c r="E18" s="30"/>
      <c r="F18" s="30"/>
      <c r="G18" s="30"/>
      <c r="H18" s="30"/>
      <c r="I18" s="30"/>
    </row>
    <row r="19" spans="1:9" ht="45" customHeight="1" thickBot="1">
      <c r="A19" s="73" t="s">
        <v>311</v>
      </c>
      <c r="B19" s="31" t="s">
        <v>200</v>
      </c>
      <c r="C19" s="31" t="s">
        <v>488</v>
      </c>
      <c r="D19" s="373">
        <f>28604*1.03*1.05*1.05</f>
        <v>32481.987300000001</v>
      </c>
      <c r="E19" s="373">
        <f>1386*1.03*1.05*1.05</f>
        <v>1573.9069500000001</v>
      </c>
      <c r="F19" s="373"/>
      <c r="G19" s="373"/>
      <c r="H19" s="373"/>
      <c r="I19" s="373">
        <f>D19-E19+F19+G19+H19</f>
        <v>30908.08035</v>
      </c>
    </row>
    <row r="20" spans="1:9" ht="25.5" customHeight="1" thickTop="1" thickBot="1">
      <c r="B20" s="22"/>
      <c r="C20" s="53" t="s">
        <v>6</v>
      </c>
      <c r="D20" s="176">
        <f t="shared" ref="D20:H20" si="4">SUM(D19)</f>
        <v>32481.987300000001</v>
      </c>
      <c r="E20" s="176">
        <f t="shared" si="4"/>
        <v>1573.9069500000001</v>
      </c>
      <c r="F20" s="176">
        <f t="shared" si="4"/>
        <v>0</v>
      </c>
      <c r="G20" s="176">
        <f t="shared" si="4"/>
        <v>0</v>
      </c>
      <c r="H20" s="176">
        <f t="shared" si="4"/>
        <v>0</v>
      </c>
      <c r="I20" s="176">
        <f>SUM(I19)</f>
        <v>30908.08035</v>
      </c>
    </row>
    <row r="21" spans="1:9" ht="25.5" customHeight="1">
      <c r="B21" s="109"/>
      <c r="C21" s="172" t="s">
        <v>206</v>
      </c>
      <c r="D21" s="176">
        <f>D20-[4]MADRE!$H$22</f>
        <v>0</v>
      </c>
      <c r="E21" s="176">
        <f>E20-[1]MADRE!$I$22</f>
        <v>0</v>
      </c>
      <c r="F21" s="176">
        <f>F20-[5]MADRE!$J$22</f>
        <v>0</v>
      </c>
      <c r="G21" s="176">
        <f>G20-[2]MADRE!K$23</f>
        <v>0</v>
      </c>
      <c r="H21" s="176">
        <f>H20-[3]MADRE!$L$22</f>
        <v>0</v>
      </c>
      <c r="I21" s="176">
        <f>I20-[3]MADRE!$M$22</f>
        <v>0</v>
      </c>
    </row>
    <row r="22" spans="1:9" ht="15" customHeight="1">
      <c r="A22" s="68" t="s">
        <v>268</v>
      </c>
      <c r="B22" s="110"/>
      <c r="C22" s="32"/>
      <c r="D22" s="32"/>
      <c r="E22" s="32"/>
      <c r="F22" s="32"/>
      <c r="G22" s="32"/>
      <c r="H22" s="385"/>
      <c r="I22" s="32"/>
    </row>
    <row r="23" spans="1:9" ht="50.25" customHeight="1">
      <c r="A23" s="102" t="s">
        <v>343</v>
      </c>
      <c r="B23" s="31" t="s">
        <v>200</v>
      </c>
      <c r="C23" s="33" t="s">
        <v>270</v>
      </c>
      <c r="D23" s="171">
        <f>18997*1.03*1.05*1.05</f>
        <v>21572.518274999999</v>
      </c>
      <c r="E23" s="171">
        <f>997*1.03*1.05*1.05</f>
        <v>1132.1682750000002</v>
      </c>
      <c r="F23" s="171"/>
      <c r="G23" s="171"/>
      <c r="H23" s="171"/>
      <c r="I23" s="174">
        <f>D23-E23+H23</f>
        <v>20440.349999999999</v>
      </c>
    </row>
    <row r="24" spans="1:9" ht="56.25" customHeight="1" thickBot="1">
      <c r="A24" s="69" t="s">
        <v>11</v>
      </c>
      <c r="B24" s="34" t="s">
        <v>200</v>
      </c>
      <c r="C24" s="125" t="s">
        <v>9</v>
      </c>
      <c r="D24" s="166">
        <f>6406.96*1.05*1.05</f>
        <v>7063.6734000000006</v>
      </c>
      <c r="E24" s="166">
        <f>199*1.04*1.05*1.05</f>
        <v>228.17340000000004</v>
      </c>
      <c r="F24" s="166"/>
      <c r="G24" s="166"/>
      <c r="H24" s="168"/>
      <c r="I24" s="166">
        <f>D24-E24+H24</f>
        <v>6835.5000000000009</v>
      </c>
    </row>
    <row r="25" spans="1:9" ht="25.5" customHeight="1" thickTop="1" thickBot="1">
      <c r="A25" s="62"/>
      <c r="B25" s="22"/>
      <c r="C25" s="53" t="s">
        <v>6</v>
      </c>
      <c r="D25" s="175">
        <f t="shared" ref="D25:H25" si="5">SUM(D23:D24)</f>
        <v>28636.191674999998</v>
      </c>
      <c r="E25" s="175">
        <f t="shared" si="5"/>
        <v>1360.3416750000004</v>
      </c>
      <c r="F25" s="175">
        <f t="shared" si="5"/>
        <v>0</v>
      </c>
      <c r="G25" s="175">
        <f t="shared" si="5"/>
        <v>0</v>
      </c>
      <c r="H25" s="175">
        <f t="shared" si="5"/>
        <v>0</v>
      </c>
      <c r="I25" s="175">
        <f>SUM(I23:I24)</f>
        <v>27275.85</v>
      </c>
    </row>
    <row r="26" spans="1:9" ht="25.5" customHeight="1">
      <c r="A26" s="62"/>
      <c r="B26" s="109"/>
      <c r="C26" s="172" t="s">
        <v>206</v>
      </c>
      <c r="D26" s="173">
        <f>D25-[1]MADRE!$H$30</f>
        <v>0</v>
      </c>
      <c r="E26" s="173">
        <f>E25-[1]MADRE!$I$30</f>
        <v>0</v>
      </c>
      <c r="F26" s="173">
        <f>F25-[2]MADRE!J$31</f>
        <v>0</v>
      </c>
      <c r="G26" s="173">
        <f>G25-[2]MADRE!K$31</f>
        <v>0</v>
      </c>
      <c r="H26" s="173">
        <f>H25-[3]MADRE!$L$30</f>
        <v>0</v>
      </c>
      <c r="I26" s="173">
        <f>I25-[3]MADRE!$M$30</f>
        <v>0</v>
      </c>
    </row>
    <row r="27" spans="1:9" ht="15" customHeight="1">
      <c r="A27" s="68" t="s">
        <v>269</v>
      </c>
      <c r="B27" s="110"/>
      <c r="C27" s="32"/>
      <c r="D27" s="32"/>
      <c r="E27" s="32"/>
      <c r="F27" s="32"/>
      <c r="G27" s="32"/>
      <c r="H27" s="32"/>
      <c r="I27" s="32"/>
    </row>
    <row r="28" spans="1:9" ht="56.25" customHeight="1">
      <c r="A28" s="61" t="s">
        <v>329</v>
      </c>
      <c r="B28" s="31" t="s">
        <v>210</v>
      </c>
      <c r="C28" s="31" t="s">
        <v>493</v>
      </c>
      <c r="D28" s="171">
        <f>18997*1.03*1.05*1.05</f>
        <v>21572.518274999999</v>
      </c>
      <c r="E28" s="171">
        <f>997*1.03*1.05*1.05</f>
        <v>1132.1682750000002</v>
      </c>
      <c r="F28" s="171"/>
      <c r="G28" s="171"/>
      <c r="H28" s="171"/>
      <c r="I28" s="174">
        <f>D28-E28+H28</f>
        <v>20440.349999999999</v>
      </c>
    </row>
    <row r="29" spans="1:9" ht="56.25" customHeight="1">
      <c r="A29" s="60" t="s">
        <v>387</v>
      </c>
      <c r="B29" s="22" t="s">
        <v>200</v>
      </c>
      <c r="C29" s="23" t="s">
        <v>35</v>
      </c>
      <c r="D29" s="166">
        <f>10947*1.03*1.05</f>
        <v>11839.1805</v>
      </c>
      <c r="E29" s="166">
        <f>441*1.03*1.05*1.05</f>
        <v>500.78857500000004</v>
      </c>
      <c r="F29" s="176"/>
      <c r="G29" s="176"/>
      <c r="H29" s="168"/>
      <c r="I29" s="166">
        <f>D29-E29+H29</f>
        <v>11338.391925</v>
      </c>
    </row>
    <row r="30" spans="1:9" ht="51" customHeight="1" thickBot="1">
      <c r="A30" s="62" t="s">
        <v>280</v>
      </c>
      <c r="B30" s="38" t="s">
        <v>200</v>
      </c>
      <c r="C30" s="125" t="s">
        <v>225</v>
      </c>
      <c r="D30" s="267">
        <f>6474*1.04*1.05*1.05</f>
        <v>7423.0884000000005</v>
      </c>
      <c r="E30" s="266">
        <f>199*1.04*1.05*1.05</f>
        <v>228.17340000000004</v>
      </c>
      <c r="F30" s="266"/>
      <c r="G30" s="266"/>
      <c r="H30" s="168"/>
      <c r="I30" s="269">
        <f>D30-E30+F30+G30+H30</f>
        <v>7194.9150000000009</v>
      </c>
    </row>
    <row r="31" spans="1:9" ht="25.5" customHeight="1" thickTop="1" thickBot="1">
      <c r="A31" s="62"/>
      <c r="B31" s="22"/>
      <c r="C31" s="53" t="s">
        <v>6</v>
      </c>
      <c r="D31" s="175">
        <f>SUM(D28:D30)</f>
        <v>40834.787174999998</v>
      </c>
      <c r="E31" s="175">
        <f>SUM(E28:E30)</f>
        <v>1861.1302500000004</v>
      </c>
      <c r="F31" s="175">
        <f t="shared" ref="F31:H31" si="6">SUM(F28:F29)</f>
        <v>0</v>
      </c>
      <c r="G31" s="175">
        <f t="shared" si="6"/>
        <v>0</v>
      </c>
      <c r="H31" s="175">
        <f t="shared" si="6"/>
        <v>0</v>
      </c>
      <c r="I31" s="175">
        <f>SUM(I28:I30)</f>
        <v>38973.656925000003</v>
      </c>
    </row>
    <row r="32" spans="1:9" ht="25.5" customHeight="1">
      <c r="A32" s="62"/>
      <c r="B32" s="109"/>
      <c r="C32" s="172" t="s">
        <v>206</v>
      </c>
      <c r="D32" s="173">
        <f>D31-[1]MADRE!$H$39</f>
        <v>0</v>
      </c>
      <c r="E32" s="173">
        <f>E31-[1]MADRE!$I$39</f>
        <v>0</v>
      </c>
      <c r="F32" s="173">
        <f>F31-[2]MADRE!J$41</f>
        <v>0</v>
      </c>
      <c r="G32" s="173">
        <f>G31-[2]MADRE!K$41</f>
        <v>0</v>
      </c>
      <c r="H32" s="173">
        <f>H31-[3]MADRE!$L$39</f>
        <v>0</v>
      </c>
      <c r="I32" s="173">
        <f>I31-[3]MADRE!$M$39</f>
        <v>0</v>
      </c>
    </row>
    <row r="33" spans="1:9" ht="15" customHeight="1">
      <c r="A33" s="25" t="s">
        <v>172</v>
      </c>
      <c r="B33" s="111"/>
      <c r="C33" s="177"/>
      <c r="D33" s="28"/>
      <c r="E33" s="28"/>
      <c r="F33" s="28"/>
      <c r="G33" s="28"/>
      <c r="H33" s="28"/>
      <c r="I33" s="28"/>
    </row>
    <row r="34" spans="1:9" ht="51" customHeight="1">
      <c r="A34" s="63" t="s">
        <v>316</v>
      </c>
      <c r="B34" s="112" t="s">
        <v>200</v>
      </c>
      <c r="C34" s="112" t="s">
        <v>317</v>
      </c>
      <c r="D34" s="171">
        <f>18997*1.03*1.05*1.05</f>
        <v>21572.518274999999</v>
      </c>
      <c r="E34" s="171">
        <f>997*1.03*1.05*1.05</f>
        <v>1132.1682750000002</v>
      </c>
      <c r="F34" s="171"/>
      <c r="G34" s="171"/>
      <c r="H34" s="171"/>
      <c r="I34" s="171">
        <f>D34-E34+H34</f>
        <v>20440.349999999999</v>
      </c>
    </row>
    <row r="35" spans="1:9" ht="51" customHeight="1">
      <c r="A35" s="62" t="s">
        <v>267</v>
      </c>
      <c r="B35" s="113" t="s">
        <v>200</v>
      </c>
      <c r="C35" s="37" t="s">
        <v>260</v>
      </c>
      <c r="D35" s="166">
        <f>6928*1.04*1.05*1.05</f>
        <v>7943.6448000000009</v>
      </c>
      <c r="E35" s="166">
        <f>220*1.04*1.05*1.05</f>
        <v>252.25200000000001</v>
      </c>
      <c r="F35" s="166"/>
      <c r="H35" s="168"/>
      <c r="I35" s="167">
        <f>D35-E35+F35+G35+H35</f>
        <v>7691.3928000000005</v>
      </c>
    </row>
    <row r="36" spans="1:9" ht="51" customHeight="1">
      <c r="A36" s="62" t="s">
        <v>17</v>
      </c>
      <c r="B36" s="114" t="s">
        <v>200</v>
      </c>
      <c r="C36" s="116" t="s">
        <v>261</v>
      </c>
      <c r="D36" s="178">
        <f>5241*1.04*1.05*1.05</f>
        <v>6009.3306000000011</v>
      </c>
      <c r="E36" s="167"/>
      <c r="F36" s="167">
        <v>90</v>
      </c>
      <c r="G36" s="167"/>
      <c r="H36" s="168"/>
      <c r="I36" s="167">
        <f>D36-E36+F36+G36+H36</f>
        <v>6099.3306000000011</v>
      </c>
    </row>
    <row r="37" spans="1:9" ht="51" customHeight="1">
      <c r="A37" s="70" t="s">
        <v>24</v>
      </c>
      <c r="B37" s="115" t="s">
        <v>200</v>
      </c>
      <c r="C37" s="116" t="s">
        <v>262</v>
      </c>
      <c r="D37" s="178">
        <f>6928*1.04*1.05*1.05</f>
        <v>7943.6448000000009</v>
      </c>
      <c r="E37" s="180">
        <f>220*1.04*1.05*1.05</f>
        <v>252.25200000000001</v>
      </c>
      <c r="F37" s="181"/>
      <c r="G37" s="181"/>
      <c r="H37" s="168"/>
      <c r="I37" s="167">
        <f>D37-E37+F37+G37+H37</f>
        <v>7691.3928000000005</v>
      </c>
    </row>
    <row r="38" spans="1:9" ht="51" customHeight="1">
      <c r="A38" s="70" t="s">
        <v>14</v>
      </c>
      <c r="B38" s="117" t="s">
        <v>200</v>
      </c>
      <c r="C38" s="46" t="s">
        <v>263</v>
      </c>
      <c r="D38" s="182">
        <f>5964*1.04*1.05*1.05</f>
        <v>6838.3224000000009</v>
      </c>
      <c r="E38" s="307">
        <f>157*1.04*1.05*1.05</f>
        <v>180.01620000000003</v>
      </c>
      <c r="F38" s="181"/>
      <c r="G38" s="307"/>
      <c r="H38" s="168"/>
      <c r="I38" s="167">
        <f>D38-E38+F38+G38+H38</f>
        <v>6658.3062000000009</v>
      </c>
    </row>
    <row r="39" spans="1:9" ht="51" customHeight="1" thickBot="1">
      <c r="A39" s="62" t="s">
        <v>16</v>
      </c>
      <c r="B39" s="38" t="s">
        <v>200</v>
      </c>
      <c r="C39" s="148" t="s">
        <v>21</v>
      </c>
      <c r="D39" s="196">
        <f>6215*1.04*1.05*1.05</f>
        <v>7126.1190000000006</v>
      </c>
      <c r="E39" s="267"/>
      <c r="F39" s="196">
        <v>90</v>
      </c>
      <c r="G39" s="267"/>
      <c r="H39" s="369"/>
      <c r="I39" s="266">
        <f>D39-E39+F39+G39+H39</f>
        <v>7216.1190000000006</v>
      </c>
    </row>
    <row r="40" spans="1:9" ht="25.5" customHeight="1" thickTop="1" thickBot="1">
      <c r="B40" s="22"/>
      <c r="C40" s="53" t="s">
        <v>6</v>
      </c>
      <c r="D40" s="185">
        <f t="shared" ref="D40:H40" si="7">SUM(D34:D39)</f>
        <v>57433.579875000003</v>
      </c>
      <c r="E40" s="185">
        <f t="shared" si="7"/>
        <v>1816.6884750000002</v>
      </c>
      <c r="F40" s="185">
        <f t="shared" si="7"/>
        <v>180</v>
      </c>
      <c r="G40" s="185">
        <f t="shared" si="7"/>
        <v>0</v>
      </c>
      <c r="H40" s="185">
        <f t="shared" si="7"/>
        <v>0</v>
      </c>
      <c r="I40" s="185">
        <f>SUM(I34:I39)</f>
        <v>55796.8914</v>
      </c>
    </row>
    <row r="41" spans="1:9" ht="25.5" customHeight="1" thickBot="1">
      <c r="B41" s="107"/>
      <c r="C41" s="169" t="s">
        <v>206</v>
      </c>
      <c r="D41" s="170">
        <f>D40-[1]MADRE!$H$57</f>
        <v>0</v>
      </c>
      <c r="E41" s="170">
        <f>E40-[1]MADRE!$I$57</f>
        <v>0</v>
      </c>
      <c r="F41" s="170">
        <f>F40-[6]MADRE!$J$59</f>
        <v>0</v>
      </c>
      <c r="G41" s="170">
        <f>G40-[2]MADRE!K$60</f>
        <v>0</v>
      </c>
      <c r="H41" s="170">
        <f>H40-[3]MADRE!$L$57</f>
        <v>0</v>
      </c>
      <c r="I41" s="170">
        <f>I40-[3]MADRE!$M$57</f>
        <v>0</v>
      </c>
    </row>
    <row r="42" spans="1:9" ht="15" customHeight="1">
      <c r="A42" s="25" t="s">
        <v>380</v>
      </c>
      <c r="B42" s="106"/>
      <c r="C42" s="28"/>
      <c r="D42" s="28"/>
      <c r="E42" s="28"/>
      <c r="F42" s="28"/>
      <c r="G42" s="28"/>
      <c r="H42" s="28"/>
      <c r="I42" s="28"/>
    </row>
    <row r="43" spans="1:9" ht="51" customHeight="1" thickBot="1">
      <c r="A43" s="61" t="s">
        <v>434</v>
      </c>
      <c r="B43" s="118" t="s">
        <v>200</v>
      </c>
      <c r="C43" s="118" t="s">
        <v>421</v>
      </c>
      <c r="D43" s="300">
        <f>14359.23*1.05</f>
        <v>15077.191500000001</v>
      </c>
      <c r="E43" s="300">
        <f>454.23*1.05</f>
        <v>476.94150000000002</v>
      </c>
      <c r="F43" s="301"/>
      <c r="G43" s="300"/>
      <c r="H43" s="300"/>
      <c r="I43" s="300">
        <f>D43-E43+H43</f>
        <v>14600.25</v>
      </c>
    </row>
    <row r="44" spans="1:9" ht="24" customHeight="1" thickTop="1" thickBot="1">
      <c r="A44" s="62"/>
      <c r="B44" s="53" t="s">
        <v>6</v>
      </c>
      <c r="C44" s="185">
        <f>SUM(C38:C43)</f>
        <v>0</v>
      </c>
      <c r="D44" s="185">
        <f t="shared" ref="D44:H44" si="8">SUM(D43)</f>
        <v>15077.191500000001</v>
      </c>
      <c r="E44" s="185">
        <f t="shared" si="8"/>
        <v>476.94150000000002</v>
      </c>
      <c r="F44" s="185">
        <f t="shared" si="8"/>
        <v>0</v>
      </c>
      <c r="G44" s="185">
        <f t="shared" si="8"/>
        <v>0</v>
      </c>
      <c r="H44" s="185">
        <f t="shared" si="8"/>
        <v>0</v>
      </c>
      <c r="I44" s="185">
        <f>SUM(I43)</f>
        <v>14600.25</v>
      </c>
    </row>
    <row r="45" spans="1:9" ht="28.5" customHeight="1" thickBot="1">
      <c r="A45" s="62"/>
      <c r="B45" s="38"/>
      <c r="C45" s="169" t="s">
        <v>206</v>
      </c>
      <c r="D45" s="170">
        <f>D44-[1]MADRE!$H$64</f>
        <v>0</v>
      </c>
      <c r="E45" s="170">
        <f>E44-[1]MADRE!$I$64</f>
        <v>0</v>
      </c>
      <c r="F45" s="170">
        <f>F44-[7]MADRE!$J$66</f>
        <v>0</v>
      </c>
      <c r="G45" s="170">
        <f>G44-[7]MADRE!$K$66</f>
        <v>0</v>
      </c>
      <c r="H45" s="170">
        <f>H44-[3]MADRE!$L$64</f>
        <v>0</v>
      </c>
      <c r="I45" s="170">
        <f>I44-[3]MADRE!$M$64</f>
        <v>0</v>
      </c>
    </row>
    <row r="46" spans="1:9" ht="15" customHeight="1">
      <c r="A46" s="25" t="s">
        <v>381</v>
      </c>
      <c r="B46" s="106"/>
      <c r="C46" s="28"/>
      <c r="D46" s="28"/>
      <c r="E46" s="28"/>
      <c r="F46" s="28"/>
      <c r="G46" s="28"/>
      <c r="H46" s="364"/>
      <c r="I46" s="28"/>
    </row>
    <row r="47" spans="1:9" ht="51" customHeight="1">
      <c r="A47" s="62"/>
      <c r="B47" s="38" t="s">
        <v>200</v>
      </c>
      <c r="C47" s="47" t="s">
        <v>377</v>
      </c>
      <c r="D47" s="166"/>
      <c r="E47" s="166"/>
      <c r="F47" s="166"/>
      <c r="G47" s="166"/>
      <c r="H47" s="176"/>
      <c r="I47" s="166"/>
    </row>
    <row r="48" spans="1:9" ht="51" customHeight="1" thickBot="1">
      <c r="A48" s="62"/>
      <c r="B48" s="38" t="s">
        <v>200</v>
      </c>
      <c r="C48" s="125" t="s">
        <v>376</v>
      </c>
      <c r="D48" s="267"/>
      <c r="E48" s="266"/>
      <c r="F48" s="266"/>
      <c r="G48" s="266"/>
      <c r="H48" s="288"/>
      <c r="I48" s="269"/>
    </row>
    <row r="49" spans="1:9" ht="25.5" customHeight="1" thickTop="1" thickBot="1">
      <c r="A49" s="62"/>
      <c r="B49" s="43"/>
      <c r="C49" s="43" t="s">
        <v>6</v>
      </c>
      <c r="D49" s="190">
        <f t="shared" ref="D49:I49" si="9">SUM(D47:D48)</f>
        <v>0</v>
      </c>
      <c r="E49" s="190">
        <f t="shared" si="9"/>
        <v>0</v>
      </c>
      <c r="F49" s="190">
        <f t="shared" si="9"/>
        <v>0</v>
      </c>
      <c r="G49" s="190">
        <f t="shared" si="9"/>
        <v>0</v>
      </c>
      <c r="H49" s="190">
        <f t="shared" si="9"/>
        <v>0</v>
      </c>
      <c r="I49" s="190">
        <f t="shared" si="9"/>
        <v>0</v>
      </c>
    </row>
    <row r="50" spans="1:9" ht="25.5" customHeight="1" thickBot="1">
      <c r="A50" s="62"/>
      <c r="B50" s="119"/>
      <c r="C50" s="191" t="s">
        <v>206</v>
      </c>
      <c r="D50" s="192">
        <f>D49-[6]MADRE!$H$73</f>
        <v>0</v>
      </c>
      <c r="E50" s="192">
        <f>E49-[6]MADRE!$I$73</f>
        <v>0</v>
      </c>
      <c r="F50" s="192">
        <f>F49-[2]MADRE!J$67</f>
        <v>0</v>
      </c>
      <c r="G50" s="192">
        <f>G49-[2]MADRE!K$67</f>
        <v>0</v>
      </c>
      <c r="H50" s="192">
        <f>H49-[8]MADRE!$L$74</f>
        <v>0</v>
      </c>
      <c r="I50" s="192">
        <f>I49-[6]MADRE!$M$73</f>
        <v>0</v>
      </c>
    </row>
    <row r="51" spans="1:9" ht="15" customHeight="1">
      <c r="A51" s="25" t="s">
        <v>318</v>
      </c>
      <c r="B51" s="106"/>
      <c r="C51" s="28"/>
      <c r="D51" s="28"/>
      <c r="E51" s="28"/>
      <c r="F51" s="28"/>
      <c r="G51" s="28"/>
      <c r="H51" s="28"/>
      <c r="I51" s="28"/>
    </row>
    <row r="52" spans="1:9" ht="60.75" customHeight="1">
      <c r="A52" s="64" t="s">
        <v>319</v>
      </c>
      <c r="B52" s="395" t="s">
        <v>200</v>
      </c>
      <c r="C52" s="120" t="s">
        <v>321</v>
      </c>
      <c r="D52" s="187">
        <v>0</v>
      </c>
      <c r="E52" s="187">
        <v>0</v>
      </c>
      <c r="F52" s="188"/>
      <c r="G52" s="189"/>
      <c r="H52" s="371">
        <f>D52/15*10*0.25</f>
        <v>0</v>
      </c>
      <c r="I52" s="186">
        <f>D52-E52+F52+G52+H52</f>
        <v>0</v>
      </c>
    </row>
    <row r="53" spans="1:9" ht="60.75" customHeight="1" thickBot="1">
      <c r="A53" s="60" t="s">
        <v>320</v>
      </c>
      <c r="B53" s="121" t="s">
        <v>305</v>
      </c>
      <c r="C53" s="122" t="s">
        <v>20</v>
      </c>
      <c r="D53" s="197">
        <f>3855*1.04*1.05*1.05</f>
        <v>4420.1430000000009</v>
      </c>
      <c r="E53" s="197"/>
      <c r="F53" s="197">
        <v>90</v>
      </c>
      <c r="G53" s="197"/>
      <c r="H53" s="365"/>
      <c r="I53" s="229">
        <f>D53+F53+H53</f>
        <v>4510.1430000000009</v>
      </c>
    </row>
    <row r="54" spans="1:9" ht="25.5" customHeight="1" thickTop="1" thickBot="1">
      <c r="A54" s="71"/>
      <c r="B54" s="123"/>
      <c r="C54" s="53" t="s">
        <v>6</v>
      </c>
      <c r="D54" s="176">
        <f t="shared" ref="D54:I54" si="10">SUM(D53:D53)</f>
        <v>4420.1430000000009</v>
      </c>
      <c r="E54" s="176">
        <f t="shared" si="10"/>
        <v>0</v>
      </c>
      <c r="F54" s="176">
        <f t="shared" si="10"/>
        <v>90</v>
      </c>
      <c r="G54" s="176">
        <f t="shared" si="10"/>
        <v>0</v>
      </c>
      <c r="H54" s="176">
        <f t="shared" si="10"/>
        <v>0</v>
      </c>
      <c r="I54" s="176">
        <f t="shared" si="10"/>
        <v>4510.1430000000009</v>
      </c>
    </row>
    <row r="55" spans="1:9" ht="25.5" customHeight="1" thickBot="1">
      <c r="A55" s="71"/>
      <c r="B55" s="107"/>
      <c r="C55" s="169" t="s">
        <v>206</v>
      </c>
      <c r="D55" s="185">
        <f>D54-[3]MADRE!$H$79</f>
        <v>0</v>
      </c>
      <c r="E55" s="185">
        <f>E54-[3]MADRE!$I$79</f>
        <v>0</v>
      </c>
      <c r="F55" s="185">
        <f>F54-[2]MADRE!J$75</f>
        <v>0</v>
      </c>
      <c r="G55" s="185">
        <f>G54-[2]MADRE!K$75</f>
        <v>0</v>
      </c>
      <c r="H55" s="185">
        <f>H54-[3]MADRE!$L$79</f>
        <v>0</v>
      </c>
      <c r="I55" s="185">
        <f>I54-[3]MADRE!$M$79</f>
        <v>0</v>
      </c>
    </row>
    <row r="56" spans="1:9" ht="15" customHeight="1">
      <c r="A56" s="25" t="s">
        <v>322</v>
      </c>
      <c r="B56" s="106"/>
      <c r="C56" s="28"/>
      <c r="D56" s="28"/>
      <c r="E56" s="28"/>
      <c r="F56" s="28"/>
      <c r="G56" s="28"/>
      <c r="H56" s="28"/>
      <c r="I56" s="28"/>
    </row>
    <row r="57" spans="1:9" ht="51" customHeight="1">
      <c r="A57" s="62"/>
      <c r="B57" s="121"/>
      <c r="C57" s="150"/>
      <c r="D57" s="166">
        <f>7005.6*1.04-485.72-6800.1</f>
        <v>3.9999999999054126E-3</v>
      </c>
      <c r="E57" s="166">
        <f>157.5*1.04-163.8</f>
        <v>0</v>
      </c>
      <c r="F57" s="166"/>
      <c r="G57" s="166"/>
      <c r="H57" s="176"/>
      <c r="I57" s="166">
        <f>D57-E57+F57+G57+H57</f>
        <v>3.9999999999054126E-3</v>
      </c>
    </row>
    <row r="58" spans="1:9" ht="25.5" customHeight="1" thickBot="1">
      <c r="A58" s="71"/>
      <c r="B58" s="123"/>
      <c r="C58" s="53" t="s">
        <v>6</v>
      </c>
      <c r="D58" s="176">
        <f t="shared" ref="D58:I58" si="11">SUM(D57:D57)</f>
        <v>3.9999999999054126E-3</v>
      </c>
      <c r="E58" s="176">
        <f t="shared" si="11"/>
        <v>0</v>
      </c>
      <c r="F58" s="176">
        <f t="shared" si="11"/>
        <v>0</v>
      </c>
      <c r="G58" s="176">
        <f t="shared" si="11"/>
        <v>0</v>
      </c>
      <c r="H58" s="176">
        <f t="shared" si="11"/>
        <v>0</v>
      </c>
      <c r="I58" s="176">
        <f t="shared" si="11"/>
        <v>3.9999999999054126E-3</v>
      </c>
    </row>
    <row r="59" spans="1:9" ht="25.5" customHeight="1" thickBot="1">
      <c r="A59" s="71"/>
      <c r="B59" s="107"/>
      <c r="C59" s="169" t="s">
        <v>206</v>
      </c>
      <c r="D59" s="185">
        <f>D58-[9]MADRE!$H$87</f>
        <v>0</v>
      </c>
      <c r="E59" s="185">
        <f>E58-[9]MADRE!$I$87</f>
        <v>0</v>
      </c>
      <c r="F59" s="185">
        <f>F58-[10]MADRE!$J$89</f>
        <v>0</v>
      </c>
      <c r="G59" s="185">
        <f>G58-[2]MADRE!K$75</f>
        <v>0</v>
      </c>
      <c r="H59" s="185">
        <f>H58-[8]MADRE!$L$90</f>
        <v>0</v>
      </c>
      <c r="I59" s="185">
        <v>0</v>
      </c>
    </row>
    <row r="60" spans="1:9" ht="15" customHeight="1">
      <c r="A60" s="25" t="s">
        <v>224</v>
      </c>
      <c r="B60" s="106"/>
      <c r="C60" s="28"/>
      <c r="D60" s="28"/>
      <c r="E60" s="28"/>
      <c r="F60" s="28"/>
      <c r="G60" s="193"/>
      <c r="H60" s="193"/>
      <c r="I60" s="193"/>
    </row>
    <row r="61" spans="1:9" ht="51" customHeight="1" thickBot="1">
      <c r="A61" s="61" t="s">
        <v>489</v>
      </c>
      <c r="B61" s="44" t="s">
        <v>200</v>
      </c>
      <c r="C61" s="33" t="s">
        <v>490</v>
      </c>
      <c r="D61" s="174">
        <f>D65</f>
        <v>11509.570800000001</v>
      </c>
      <c r="E61" s="174">
        <v>505.65</v>
      </c>
      <c r="F61" s="174"/>
      <c r="G61" s="174"/>
      <c r="H61" s="174"/>
      <c r="I61" s="174">
        <f>D61-E61+H61</f>
        <v>11003.920800000002</v>
      </c>
    </row>
    <row r="62" spans="1:9" ht="25.5" customHeight="1" thickTop="1" thickBot="1">
      <c r="A62" s="71"/>
      <c r="B62" s="22"/>
      <c r="C62" s="53" t="s">
        <v>6</v>
      </c>
      <c r="D62" s="175">
        <f t="shared" ref="D62:H62" si="12">SUM(D61:D61)</f>
        <v>11509.570800000001</v>
      </c>
      <c r="E62" s="175">
        <f t="shared" si="12"/>
        <v>505.65</v>
      </c>
      <c r="F62" s="175">
        <f t="shared" si="12"/>
        <v>0</v>
      </c>
      <c r="G62" s="175">
        <f t="shared" si="12"/>
        <v>0</v>
      </c>
      <c r="H62" s="175">
        <f t="shared" si="12"/>
        <v>0</v>
      </c>
      <c r="I62" s="175">
        <f>SUM(I61:I61)</f>
        <v>11003.920800000002</v>
      </c>
    </row>
    <row r="63" spans="1:9" ht="25.5" customHeight="1" thickBot="1">
      <c r="A63" s="71"/>
      <c r="B63" s="107"/>
      <c r="C63" s="169" t="s">
        <v>206</v>
      </c>
      <c r="D63" s="173">
        <f>D62-[3]MADRE!$H$86</f>
        <v>0</v>
      </c>
      <c r="E63" s="173">
        <f>E62-[3]MADRE!$I$86</f>
        <v>0</v>
      </c>
      <c r="F63" s="173">
        <f>F62-[11]MADRE!$J$97</f>
        <v>0</v>
      </c>
      <c r="G63" s="173">
        <f>G62-[2]MADRE!K$90</f>
        <v>0</v>
      </c>
      <c r="H63" s="173">
        <f>H62-[3]MADRE!$L$86</f>
        <v>0</v>
      </c>
      <c r="I63" s="173">
        <f>I62-[3]MADRE!$M$86</f>
        <v>0</v>
      </c>
    </row>
    <row r="64" spans="1:9" ht="15" customHeight="1">
      <c r="A64" s="25" t="s">
        <v>173</v>
      </c>
      <c r="B64" s="106"/>
      <c r="C64" s="28"/>
      <c r="D64" s="66"/>
      <c r="E64" s="32"/>
      <c r="F64" s="32"/>
      <c r="G64" s="32"/>
      <c r="H64" s="32"/>
      <c r="I64" s="32"/>
    </row>
    <row r="65" spans="1:9" ht="51" customHeight="1">
      <c r="A65" s="61" t="s">
        <v>324</v>
      </c>
      <c r="B65" s="118" t="s">
        <v>200</v>
      </c>
      <c r="C65" s="124" t="s">
        <v>414</v>
      </c>
      <c r="D65" s="174">
        <f>10038*1.04*1.05*1.05</f>
        <v>11509.570800000001</v>
      </c>
      <c r="E65" s="174">
        <f>441*1.04*1.05*1.05</f>
        <v>505.65060000000011</v>
      </c>
      <c r="F65" s="171"/>
      <c r="G65" s="171"/>
      <c r="H65" s="171"/>
      <c r="I65" s="171">
        <f>D65-E65+F65+G65+H65</f>
        <v>11003.9202</v>
      </c>
    </row>
    <row r="66" spans="1:9" ht="51" customHeight="1">
      <c r="A66" s="62" t="s">
        <v>323</v>
      </c>
      <c r="B66" s="34" t="s">
        <v>305</v>
      </c>
      <c r="C66" s="125" t="s">
        <v>325</v>
      </c>
      <c r="D66" s="167">
        <f>6405*1.04*1.05*1.05</f>
        <v>7343.9730000000009</v>
      </c>
      <c r="E66" s="167">
        <f>175*1.04*1.05*1.05</f>
        <v>200.655</v>
      </c>
      <c r="F66" s="167"/>
      <c r="G66" s="167"/>
      <c r="H66" s="168"/>
      <c r="I66" s="167">
        <f>D66-E66+F66+G66+H66</f>
        <v>7143.3180000000011</v>
      </c>
    </row>
    <row r="67" spans="1:9" ht="51" customHeight="1">
      <c r="A67" s="70" t="s">
        <v>45</v>
      </c>
      <c r="B67" s="34" t="s">
        <v>200</v>
      </c>
      <c r="C67" s="50" t="s">
        <v>9</v>
      </c>
      <c r="D67" s="178">
        <f>4740*1.04*1.05*1.05</f>
        <v>5434.8840000000009</v>
      </c>
      <c r="E67" s="180"/>
      <c r="F67" s="180">
        <v>90</v>
      </c>
      <c r="G67" s="181"/>
      <c r="H67" s="168"/>
      <c r="I67" s="167">
        <f t="shared" ref="I67:I71" si="13">D67-E67+F67+G67+H67</f>
        <v>5524.8840000000009</v>
      </c>
    </row>
    <row r="68" spans="1:9" ht="51" customHeight="1">
      <c r="A68" s="62" t="s">
        <v>275</v>
      </c>
      <c r="B68" s="114" t="s">
        <v>200</v>
      </c>
      <c r="C68" s="46" t="s">
        <v>20</v>
      </c>
      <c r="D68" s="167">
        <f>4790*1.04*1.05*1.05</f>
        <v>5492.2140000000009</v>
      </c>
      <c r="E68" s="167"/>
      <c r="F68" s="167">
        <v>90</v>
      </c>
      <c r="G68" s="167"/>
      <c r="H68" s="168"/>
      <c r="I68" s="167">
        <f t="shared" si="13"/>
        <v>5582.2140000000009</v>
      </c>
    </row>
    <row r="69" spans="1:9" ht="51" customHeight="1">
      <c r="A69" s="62" t="s">
        <v>209</v>
      </c>
      <c r="B69" s="126" t="s">
        <v>200</v>
      </c>
      <c r="C69" s="45" t="s">
        <v>20</v>
      </c>
      <c r="D69" s="166">
        <f>4552*1.04*1.05*1.05</f>
        <v>5219.3232000000007</v>
      </c>
      <c r="E69" s="166"/>
      <c r="F69" s="166">
        <v>90</v>
      </c>
      <c r="G69" s="166"/>
      <c r="H69" s="168"/>
      <c r="I69" s="167">
        <f t="shared" si="13"/>
        <v>5309.3232000000007</v>
      </c>
    </row>
    <row r="70" spans="1:9" ht="51" customHeight="1">
      <c r="A70" s="80" t="s">
        <v>15</v>
      </c>
      <c r="B70" s="39" t="s">
        <v>200</v>
      </c>
      <c r="C70" s="142" t="s">
        <v>20</v>
      </c>
      <c r="D70" s="166">
        <f>4618*1.04*1.05*1.05</f>
        <v>5294.9988000000012</v>
      </c>
      <c r="E70" s="166"/>
      <c r="F70" s="166">
        <v>90</v>
      </c>
      <c r="G70" s="166"/>
      <c r="H70" s="168"/>
      <c r="I70" s="167">
        <f t="shared" si="13"/>
        <v>5384.9988000000012</v>
      </c>
    </row>
    <row r="71" spans="1:9" ht="51" customHeight="1" thickBot="1">
      <c r="A71" s="62" t="s">
        <v>12</v>
      </c>
      <c r="B71" s="287" t="s">
        <v>200</v>
      </c>
      <c r="C71" s="287" t="s">
        <v>415</v>
      </c>
      <c r="D71" s="269">
        <f>6928*1.04*1.05*1.05</f>
        <v>7943.6448000000009</v>
      </c>
      <c r="E71" s="269">
        <f>220*1.04*1.05*1.05</f>
        <v>252.25200000000001</v>
      </c>
      <c r="F71" s="269"/>
      <c r="G71" s="269"/>
      <c r="H71" s="369"/>
      <c r="I71" s="268">
        <f t="shared" si="13"/>
        <v>7691.3928000000005</v>
      </c>
    </row>
    <row r="72" spans="1:9" ht="25.5" customHeight="1" thickTop="1" thickBot="1">
      <c r="B72" s="22"/>
      <c r="C72" s="53" t="s">
        <v>6</v>
      </c>
      <c r="D72" s="168">
        <f>SUM(D65:D71)</f>
        <v>48238.608600000007</v>
      </c>
      <c r="E72" s="168">
        <f t="shared" ref="E72:H72" si="14">SUM(E65:E71)</f>
        <v>958.55760000000009</v>
      </c>
      <c r="F72" s="168">
        <f t="shared" si="14"/>
        <v>360</v>
      </c>
      <c r="G72" s="168">
        <f t="shared" si="14"/>
        <v>0</v>
      </c>
      <c r="H72" s="168">
        <f t="shared" si="14"/>
        <v>0</v>
      </c>
      <c r="I72" s="168">
        <f>SUM(I65:I71)</f>
        <v>47640.051000000007</v>
      </c>
    </row>
    <row r="73" spans="1:9" ht="25.5" customHeight="1" thickBot="1">
      <c r="B73" s="107"/>
      <c r="C73" s="169" t="s">
        <v>206</v>
      </c>
      <c r="D73" s="170">
        <f>D72-[1]MADRE!$H$99</f>
        <v>0</v>
      </c>
      <c r="E73" s="170">
        <f>E72-[1]MADRE!$I$99</f>
        <v>0</v>
      </c>
      <c r="F73" s="170">
        <f>F72-[10]MADRE!$J$110</f>
        <v>0</v>
      </c>
      <c r="G73" s="170">
        <f>G72-[2]MADRE!K$105</f>
        <v>0</v>
      </c>
      <c r="H73" s="170">
        <f>H72-[3]MADRE!$L$99</f>
        <v>0</v>
      </c>
      <c r="I73" s="170">
        <f>I72-[3]MADRE!$M$99</f>
        <v>0</v>
      </c>
    </row>
    <row r="74" spans="1:9" ht="15" customHeight="1">
      <c r="A74" s="25" t="s">
        <v>174</v>
      </c>
      <c r="B74" s="106"/>
      <c r="C74" s="28"/>
      <c r="D74" s="28"/>
      <c r="E74" s="28"/>
      <c r="F74" s="28"/>
      <c r="G74" s="28"/>
      <c r="H74" s="364"/>
      <c r="I74" s="28"/>
    </row>
    <row r="75" spans="1:9" ht="51" customHeight="1" thickBot="1">
      <c r="A75" s="297" t="s">
        <v>428</v>
      </c>
      <c r="B75" s="38" t="s">
        <v>210</v>
      </c>
      <c r="C75" s="317" t="s">
        <v>429</v>
      </c>
      <c r="D75" s="291">
        <f>5000*1.05</f>
        <v>5250</v>
      </c>
      <c r="E75" s="291"/>
      <c r="F75" s="166"/>
      <c r="G75" s="166"/>
      <c r="H75" s="176"/>
      <c r="I75" s="184">
        <f>D75-E75+H75</f>
        <v>5250</v>
      </c>
    </row>
    <row r="76" spans="1:9" ht="25.5" customHeight="1" thickTop="1" thickBot="1">
      <c r="B76" s="22"/>
      <c r="C76" s="53" t="s">
        <v>6</v>
      </c>
      <c r="D76" s="175">
        <f>SUM(D75:D75)</f>
        <v>5250</v>
      </c>
      <c r="E76" s="175">
        <f>SUM(E75:E75)</f>
        <v>0</v>
      </c>
      <c r="F76" s="175">
        <f t="shared" ref="F76:H76" si="15">SUM(F75:F75)</f>
        <v>0</v>
      </c>
      <c r="G76" s="175">
        <f t="shared" si="15"/>
        <v>0</v>
      </c>
      <c r="H76" s="175">
        <f t="shared" si="15"/>
        <v>0</v>
      </c>
      <c r="I76" s="175">
        <f>SUM(I75:I75)</f>
        <v>5250</v>
      </c>
    </row>
    <row r="77" spans="1:9" ht="25.5" customHeight="1" thickBot="1">
      <c r="B77" s="107"/>
      <c r="C77" s="169" t="s">
        <v>206</v>
      </c>
      <c r="D77" s="170">
        <f>D76-[1]MADRE!$H$106</f>
        <v>0</v>
      </c>
      <c r="E77" s="170">
        <f>E76-[12]MADRE!$I$113</f>
        <v>0</v>
      </c>
      <c r="F77" s="170">
        <f>F76-[2]MADRE!J$113</f>
        <v>0</v>
      </c>
      <c r="G77" s="170">
        <f>G76-[2]MADRE!K$113</f>
        <v>0</v>
      </c>
      <c r="H77" s="170">
        <f>H76-[3]MADRE!$L$106</f>
        <v>0</v>
      </c>
      <c r="I77" s="170">
        <f>I76-[3]MADRE!$M$106</f>
        <v>0</v>
      </c>
    </row>
    <row r="78" spans="1:9" ht="15" customHeight="1">
      <c r="A78" s="25" t="s">
        <v>384</v>
      </c>
      <c r="B78" s="106"/>
      <c r="C78" s="28"/>
      <c r="D78" s="28"/>
      <c r="E78" s="28" t="s">
        <v>286</v>
      </c>
      <c r="F78" s="28"/>
      <c r="G78" s="28"/>
      <c r="H78" s="28"/>
      <c r="I78" s="28"/>
    </row>
    <row r="79" spans="1:9" ht="10.5" customHeight="1">
      <c r="A79" s="72"/>
      <c r="B79" s="112"/>
      <c r="C79" s="31"/>
      <c r="D79" s="171"/>
      <c r="E79" s="171"/>
      <c r="F79" s="171"/>
      <c r="G79" s="171"/>
      <c r="H79" s="171"/>
      <c r="I79" s="171"/>
    </row>
    <row r="80" spans="1:9" ht="51" customHeight="1">
      <c r="A80" s="61" t="s">
        <v>326</v>
      </c>
      <c r="B80" s="118" t="s">
        <v>200</v>
      </c>
      <c r="C80" s="124" t="s">
        <v>253</v>
      </c>
      <c r="D80" s="174">
        <f>10038*1.04*1.05*1.05</f>
        <v>11509.570800000001</v>
      </c>
      <c r="E80" s="174">
        <f>441*1.04*1.05*1.05</f>
        <v>505.65060000000011</v>
      </c>
      <c r="F80" s="171"/>
      <c r="G80" s="171"/>
      <c r="H80" s="171"/>
      <c r="I80" s="174">
        <f>D80-E80+H80</f>
        <v>11003.9202</v>
      </c>
    </row>
    <row r="81" spans="1:9" ht="51.75" customHeight="1">
      <c r="A81" s="62" t="s">
        <v>388</v>
      </c>
      <c r="B81" s="114" t="s">
        <v>200</v>
      </c>
      <c r="C81" s="122" t="s">
        <v>437</v>
      </c>
      <c r="D81" s="166">
        <f>3800*1.05*1.05</f>
        <v>4189.5</v>
      </c>
      <c r="H81" s="168"/>
      <c r="I81" s="166">
        <f>D81-E81+F81+H81</f>
        <v>4189.5</v>
      </c>
    </row>
    <row r="82" spans="1:9" ht="51" customHeight="1">
      <c r="A82" s="60" t="s">
        <v>95</v>
      </c>
      <c r="B82" s="114" t="s">
        <v>200</v>
      </c>
      <c r="C82" s="34" t="s">
        <v>90</v>
      </c>
      <c r="D82" s="166">
        <f>4415*1.05*1.05*1.05</f>
        <v>5110.9143750000003</v>
      </c>
      <c r="E82" s="166"/>
      <c r="F82" s="166">
        <v>90</v>
      </c>
      <c r="G82" s="166"/>
      <c r="H82" s="168"/>
      <c r="I82" s="166">
        <f>D82-E82+F82+H82</f>
        <v>5200.9143750000003</v>
      </c>
    </row>
    <row r="83" spans="1:9" ht="51" customHeight="1">
      <c r="A83" s="60" t="s">
        <v>409</v>
      </c>
      <c r="B83" s="114" t="s">
        <v>210</v>
      </c>
      <c r="C83" s="146" t="s">
        <v>410</v>
      </c>
      <c r="D83" s="166">
        <f>2000*1.05*1.05</f>
        <v>2205</v>
      </c>
      <c r="E83" s="166"/>
      <c r="F83" s="166">
        <v>167</v>
      </c>
      <c r="G83" s="166"/>
      <c r="H83" s="168"/>
      <c r="I83" s="166">
        <f>D83-E83+F83+H83</f>
        <v>2372</v>
      </c>
    </row>
    <row r="84" spans="1:9" ht="51" customHeight="1" thickBot="1">
      <c r="A84" s="60" t="s">
        <v>46</v>
      </c>
      <c r="B84" s="35" t="s">
        <v>200</v>
      </c>
      <c r="C84" s="50" t="s">
        <v>25</v>
      </c>
      <c r="D84" s="229">
        <f>2756*1.05*1.05*1.05</f>
        <v>3190.4145000000003</v>
      </c>
      <c r="E84" s="229"/>
      <c r="F84" s="197">
        <v>167</v>
      </c>
      <c r="G84" s="229"/>
      <c r="H84" s="386"/>
      <c r="I84" s="196">
        <f>D84-E84+F84+H84</f>
        <v>3357.4145000000003</v>
      </c>
    </row>
    <row r="85" spans="1:9" ht="25.5" customHeight="1" thickTop="1" thickBot="1">
      <c r="B85" s="22"/>
      <c r="C85" s="53" t="s">
        <v>6</v>
      </c>
      <c r="D85" s="168">
        <f>SUM(D80:D84)</f>
        <v>26205.399675000001</v>
      </c>
      <c r="E85" s="168">
        <f t="shared" ref="E85:H85" si="16">SUM(E80:E84)</f>
        <v>505.65060000000011</v>
      </c>
      <c r="F85" s="168">
        <f t="shared" si="16"/>
        <v>424</v>
      </c>
      <c r="G85" s="168">
        <f t="shared" si="16"/>
        <v>0</v>
      </c>
      <c r="H85" s="168">
        <f t="shared" si="16"/>
        <v>0</v>
      </c>
      <c r="I85" s="168">
        <f>SUM(I80:I84)</f>
        <v>26123.749075</v>
      </c>
    </row>
    <row r="86" spans="1:9" ht="25.5" customHeight="1">
      <c r="B86" s="109"/>
      <c r="C86" s="172" t="s">
        <v>206</v>
      </c>
      <c r="D86" s="173">
        <f>D85-[1]MADRE!$H$118</f>
        <v>0</v>
      </c>
      <c r="E86" s="173">
        <f>E85-[1]MADRE!$I$118</f>
        <v>0</v>
      </c>
      <c r="F86" s="173">
        <f>F85-[13]MADRE!$J$129</f>
        <v>0</v>
      </c>
      <c r="G86" s="173">
        <f>G85-[2]MADRE!K$124</f>
        <v>0</v>
      </c>
      <c r="H86" s="173">
        <f>H85-[3]MADRE!$L$118</f>
        <v>0</v>
      </c>
      <c r="I86" s="173">
        <f>I85-[3]MADRE!$M$118</f>
        <v>0</v>
      </c>
    </row>
    <row r="87" spans="1:9" ht="15" customHeight="1">
      <c r="A87" s="68" t="s">
        <v>175</v>
      </c>
      <c r="B87" s="110"/>
      <c r="C87" s="32"/>
      <c r="D87" s="32"/>
      <c r="E87" s="32"/>
      <c r="F87" s="32"/>
      <c r="G87" s="32"/>
      <c r="H87" s="385"/>
      <c r="I87" s="32"/>
    </row>
    <row r="88" spans="1:9" ht="64.5" customHeight="1">
      <c r="A88" s="62" t="s">
        <v>398</v>
      </c>
      <c r="B88" s="144" t="s">
        <v>200</v>
      </c>
      <c r="C88" s="51" t="s">
        <v>421</v>
      </c>
      <c r="D88" s="166">
        <f>6150*1.05</f>
        <v>6457.5</v>
      </c>
      <c r="E88" s="166">
        <v>162.07</v>
      </c>
      <c r="F88" s="167"/>
      <c r="G88" s="167"/>
      <c r="H88" s="168"/>
      <c r="I88" s="167">
        <f>D88-E88+F88+G88+H88</f>
        <v>6295.43</v>
      </c>
    </row>
    <row r="89" spans="1:9" ht="51" customHeight="1">
      <c r="A89" s="62" t="s">
        <v>26</v>
      </c>
      <c r="B89" s="144" t="s">
        <v>200</v>
      </c>
      <c r="C89" s="51" t="s">
        <v>27</v>
      </c>
      <c r="D89" s="219">
        <f>5765*1.04*1.05*1.05</f>
        <v>6610.1490000000013</v>
      </c>
      <c r="E89" s="167">
        <f>299*1.04*1.05*1.05</f>
        <v>342.83340000000004</v>
      </c>
      <c r="F89" s="167"/>
      <c r="G89" s="167"/>
      <c r="H89" s="168"/>
      <c r="I89" s="167">
        <f t="shared" ref="I89:I93" si="17">D89-E89+F89+G89+H89</f>
        <v>6267.3156000000008</v>
      </c>
    </row>
    <row r="90" spans="1:9" ht="51" customHeight="1">
      <c r="A90" s="62" t="s">
        <v>282</v>
      </c>
      <c r="B90" s="144" t="s">
        <v>200</v>
      </c>
      <c r="C90" s="164" t="s">
        <v>276</v>
      </c>
      <c r="D90" s="219">
        <f>4310*1.04*1.05*1.05</f>
        <v>4941.8460000000005</v>
      </c>
      <c r="E90" s="167"/>
      <c r="F90" s="167">
        <v>90</v>
      </c>
      <c r="G90" s="167"/>
      <c r="H90" s="168"/>
      <c r="I90" s="167">
        <f t="shared" si="17"/>
        <v>5031.8460000000005</v>
      </c>
    </row>
    <row r="91" spans="1:9" ht="51" customHeight="1">
      <c r="A91" s="62" t="s">
        <v>288</v>
      </c>
      <c r="B91" s="276" t="s">
        <v>200</v>
      </c>
      <c r="C91" s="251" t="s">
        <v>289</v>
      </c>
      <c r="D91" s="219">
        <f>4310*1.04*1.05*1.05</f>
        <v>4941.8460000000005</v>
      </c>
      <c r="E91" s="167"/>
      <c r="F91" s="167">
        <v>90</v>
      </c>
      <c r="G91" s="167"/>
      <c r="H91" s="168"/>
      <c r="I91" s="167">
        <f t="shared" si="17"/>
        <v>5031.8460000000005</v>
      </c>
    </row>
    <row r="92" spans="1:9" ht="51" customHeight="1">
      <c r="A92" s="60" t="s">
        <v>354</v>
      </c>
      <c r="B92" s="277" t="s">
        <v>210</v>
      </c>
      <c r="C92" s="116" t="s">
        <v>355</v>
      </c>
      <c r="D92" s="166">
        <f>3465*1.05*1.05</f>
        <v>3820.1625000000004</v>
      </c>
      <c r="E92" s="167"/>
      <c r="F92" s="167">
        <v>90</v>
      </c>
      <c r="G92" s="167"/>
      <c r="H92" s="168"/>
      <c r="I92" s="167">
        <f t="shared" si="17"/>
        <v>3910.1625000000004</v>
      </c>
    </row>
    <row r="93" spans="1:9" ht="51" customHeight="1" thickBot="1">
      <c r="A93" s="62" t="s">
        <v>362</v>
      </c>
      <c r="B93" s="278" t="s">
        <v>200</v>
      </c>
      <c r="C93" s="279" t="s">
        <v>276</v>
      </c>
      <c r="D93" s="267">
        <f>4310*1.04*1.05*1.05</f>
        <v>4941.8460000000005</v>
      </c>
      <c r="E93" s="167"/>
      <c r="F93" s="167">
        <v>90</v>
      </c>
      <c r="G93" s="167"/>
      <c r="H93" s="168"/>
      <c r="I93" s="167">
        <f t="shared" si="17"/>
        <v>5031.8460000000005</v>
      </c>
    </row>
    <row r="94" spans="1:9" ht="25.5" customHeight="1" thickTop="1" thickBot="1">
      <c r="A94" s="74"/>
      <c r="B94" s="22"/>
      <c r="C94" s="53" t="s">
        <v>6</v>
      </c>
      <c r="D94" s="175">
        <f>SUM(D88:D93)</f>
        <v>31713.349500000008</v>
      </c>
      <c r="E94" s="175">
        <f>SUM(E88:E93)</f>
        <v>504.90340000000003</v>
      </c>
      <c r="F94" s="175">
        <f>SUM(F88:F93)</f>
        <v>360</v>
      </c>
      <c r="G94" s="175">
        <f t="shared" ref="G94:H94" si="18">SUM(G88:G93)</f>
        <v>0</v>
      </c>
      <c r="H94" s="175">
        <f t="shared" si="18"/>
        <v>0</v>
      </c>
      <c r="I94" s="175">
        <f>SUM(I88:I93)</f>
        <v>31568.446100000005</v>
      </c>
    </row>
    <row r="95" spans="1:9" ht="25.5" customHeight="1" thickBot="1">
      <c r="A95" s="74"/>
      <c r="B95" s="107"/>
      <c r="C95" s="169" t="s">
        <v>206</v>
      </c>
      <c r="D95" s="185">
        <f>D94-[1]MADRE!$H$130</f>
        <v>0</v>
      </c>
      <c r="E95" s="185">
        <f>E94-[1]MADRE!$I$130</f>
        <v>0</v>
      </c>
      <c r="F95" s="185">
        <f>F94-[14]MADRE!$J$141</f>
        <v>0</v>
      </c>
      <c r="G95" s="185">
        <f>G94-[2]MADRE!K$135</f>
        <v>0</v>
      </c>
      <c r="H95" s="185">
        <f>H94-[3]MADRE!$L$130</f>
        <v>0</v>
      </c>
      <c r="I95" s="185">
        <f>I94-[3]MADRE!$M$130</f>
        <v>0</v>
      </c>
    </row>
    <row r="96" spans="1:9" ht="15" customHeight="1">
      <c r="A96" s="54" t="s">
        <v>252</v>
      </c>
      <c r="B96" s="108"/>
      <c r="C96" s="30"/>
      <c r="D96" s="28"/>
      <c r="E96" s="28"/>
      <c r="F96" s="28"/>
      <c r="G96" s="28"/>
      <c r="H96" s="364"/>
      <c r="I96" s="28"/>
    </row>
    <row r="97" spans="1:9" ht="60.75" customHeight="1">
      <c r="A97" s="60" t="s">
        <v>352</v>
      </c>
      <c r="B97" s="256" t="s">
        <v>200</v>
      </c>
      <c r="C97" s="37" t="s">
        <v>366</v>
      </c>
      <c r="D97" s="166">
        <f>3969*1.04*1.05*1.05</f>
        <v>4550.8554000000004</v>
      </c>
      <c r="E97" s="166"/>
      <c r="F97" s="166">
        <v>140</v>
      </c>
      <c r="G97" s="166"/>
      <c r="H97" s="168"/>
      <c r="I97" s="166">
        <f>D97-E97+F97+G97+H97</f>
        <v>4690.8554000000004</v>
      </c>
    </row>
    <row r="98" spans="1:9" ht="51" customHeight="1">
      <c r="A98" s="75" t="s">
        <v>68</v>
      </c>
      <c r="B98" s="36" t="s">
        <v>200</v>
      </c>
      <c r="C98" s="23" t="s">
        <v>73</v>
      </c>
      <c r="D98" s="166">
        <f>6118*1.04*1.05*1.05</f>
        <v>7014.8988000000008</v>
      </c>
      <c r="E98" s="166">
        <f>456*1.04*1.05*1.05</f>
        <v>522.84960000000012</v>
      </c>
      <c r="F98" s="166"/>
      <c r="G98" s="198"/>
      <c r="H98" s="168"/>
      <c r="I98" s="166">
        <f t="shared" ref="I98:I102" si="19">D98-E98+F98+G98+H98</f>
        <v>6492.0492000000004</v>
      </c>
    </row>
    <row r="99" spans="1:9" ht="51" customHeight="1">
      <c r="A99" s="91" t="s">
        <v>69</v>
      </c>
      <c r="B99" s="128" t="s">
        <v>200</v>
      </c>
      <c r="C99" s="125" t="s">
        <v>73</v>
      </c>
      <c r="D99" s="199">
        <f>6468*1.04*1.05*1.05</f>
        <v>7416.2088000000012</v>
      </c>
      <c r="E99" s="166">
        <f>456*1.04*1.05*1.05</f>
        <v>522.84960000000012</v>
      </c>
      <c r="F99" s="182"/>
      <c r="G99" s="199"/>
      <c r="H99" s="168"/>
      <c r="I99" s="166">
        <f t="shared" si="19"/>
        <v>6893.3592000000008</v>
      </c>
    </row>
    <row r="100" spans="1:9" ht="51" customHeight="1">
      <c r="A100" s="299" t="s">
        <v>70</v>
      </c>
      <c r="B100" s="129" t="s">
        <v>200</v>
      </c>
      <c r="C100" s="160" t="s">
        <v>73</v>
      </c>
      <c r="D100" s="201">
        <f>6228*1.04*1.05*1.05</f>
        <v>7141.0248000000011</v>
      </c>
      <c r="E100" s="166">
        <f>456*1.04*1.05*1.05</f>
        <v>522.84960000000012</v>
      </c>
      <c r="F100" s="202"/>
      <c r="G100" s="201"/>
      <c r="H100" s="168"/>
      <c r="I100" s="166">
        <f t="shared" si="19"/>
        <v>6618.1752000000006</v>
      </c>
    </row>
    <row r="101" spans="1:9" ht="51" customHeight="1">
      <c r="A101" s="76" t="s">
        <v>71</v>
      </c>
      <c r="B101" s="114" t="s">
        <v>200</v>
      </c>
      <c r="C101" s="205" t="s">
        <v>74</v>
      </c>
      <c r="D101" s="206">
        <f>4811.2*1.05*1.05</f>
        <v>5304.3480000000009</v>
      </c>
      <c r="E101" s="207"/>
      <c r="F101" s="208">
        <v>90</v>
      </c>
      <c r="G101" s="209"/>
      <c r="H101" s="168"/>
      <c r="I101" s="166">
        <f t="shared" si="19"/>
        <v>5394.3480000000009</v>
      </c>
    </row>
    <row r="102" spans="1:9" ht="51" customHeight="1" thickBot="1">
      <c r="A102" s="76" t="s">
        <v>72</v>
      </c>
      <c r="B102" s="130" t="s">
        <v>200</v>
      </c>
      <c r="C102" s="23" t="s">
        <v>73</v>
      </c>
      <c r="D102" s="166">
        <f>5997*1.04*1.05*1.05</f>
        <v>6876.1602000000003</v>
      </c>
      <c r="E102" s="166">
        <f>456*1.04*1.05*1.05</f>
        <v>522.84960000000012</v>
      </c>
      <c r="F102" s="209"/>
      <c r="G102" s="209"/>
      <c r="H102" s="168"/>
      <c r="I102" s="166">
        <f t="shared" si="19"/>
        <v>6353.3105999999998</v>
      </c>
    </row>
    <row r="103" spans="1:9" ht="25.5" customHeight="1" thickTop="1">
      <c r="B103" s="22"/>
      <c r="C103" s="53" t="s">
        <v>6</v>
      </c>
      <c r="D103" s="175">
        <f t="shared" ref="D103:H103" si="20">SUM(D97:D102)</f>
        <v>38303.496000000006</v>
      </c>
      <c r="E103" s="175">
        <f t="shared" si="20"/>
        <v>2091.3984000000005</v>
      </c>
      <c r="F103" s="175">
        <f t="shared" si="20"/>
        <v>230</v>
      </c>
      <c r="G103" s="175">
        <f t="shared" si="20"/>
        <v>0</v>
      </c>
      <c r="H103" s="175">
        <f t="shared" si="20"/>
        <v>0</v>
      </c>
      <c r="I103" s="175">
        <f>SUM(I97:I102)</f>
        <v>36442.097600000001</v>
      </c>
    </row>
    <row r="104" spans="1:9" ht="25.5" customHeight="1" thickBot="1">
      <c r="B104" s="131"/>
      <c r="C104" s="210" t="s">
        <v>206</v>
      </c>
      <c r="D104" s="211">
        <f>D103-[15]MADRE!$H$142</f>
        <v>0</v>
      </c>
      <c r="E104" s="211">
        <f>E103-[15]MADRE!$I$142</f>
        <v>0</v>
      </c>
      <c r="F104" s="211">
        <f>F103-[14]MADRE!$J$154</f>
        <v>0</v>
      </c>
      <c r="G104" s="211">
        <f>G103-[2]MADRE!K$147</f>
        <v>0</v>
      </c>
      <c r="H104" s="211">
        <f>H103-[3]MADRE!$L$142</f>
        <v>0</v>
      </c>
      <c r="I104" s="211">
        <f>I103-[3]MADRE!$M$142</f>
        <v>0</v>
      </c>
    </row>
    <row r="105" spans="1:9" ht="15" customHeight="1">
      <c r="A105" s="25" t="s">
        <v>176</v>
      </c>
      <c r="B105" s="132"/>
      <c r="C105" s="30"/>
      <c r="D105" s="28"/>
      <c r="E105" s="28"/>
      <c r="F105" s="28"/>
      <c r="G105" s="28"/>
      <c r="H105" s="364"/>
      <c r="I105" s="28"/>
    </row>
    <row r="106" spans="1:9" ht="51" customHeight="1">
      <c r="A106" s="63" t="s">
        <v>456</v>
      </c>
      <c r="B106" s="31" t="s">
        <v>200</v>
      </c>
      <c r="C106" s="335" t="s">
        <v>490</v>
      </c>
      <c r="D106" s="378">
        <f>3800*1.08</f>
        <v>4104</v>
      </c>
      <c r="E106" s="174"/>
      <c r="F106" s="174"/>
      <c r="G106" s="174"/>
      <c r="H106" s="174"/>
      <c r="I106" s="174">
        <f>D106+H106</f>
        <v>4104</v>
      </c>
    </row>
    <row r="107" spans="1:9" ht="45" customHeight="1" thickBot="1">
      <c r="A107" s="60" t="s">
        <v>361</v>
      </c>
      <c r="B107" s="38" t="s">
        <v>200</v>
      </c>
      <c r="C107" s="37" t="s">
        <v>392</v>
      </c>
      <c r="D107" s="269">
        <f>2400*1.04*1.05*1.05</f>
        <v>2751.84</v>
      </c>
      <c r="E107" s="295"/>
      <c r="F107" s="295"/>
      <c r="G107" s="382"/>
      <c r="H107" s="369"/>
      <c r="I107" s="266">
        <f>D107-E107+F107+H107</f>
        <v>2751.84</v>
      </c>
    </row>
    <row r="108" spans="1:9" ht="25.5" customHeight="1" thickTop="1" thickBot="1">
      <c r="B108" s="22"/>
      <c r="C108" s="53" t="s">
        <v>6</v>
      </c>
      <c r="D108" s="168">
        <f>SUM(D106:D107)</f>
        <v>6855.84</v>
      </c>
      <c r="E108" s="168">
        <f t="shared" ref="E108:H108" si="21">SUM(E106:E107)</f>
        <v>0</v>
      </c>
      <c r="F108" s="168">
        <f t="shared" si="21"/>
        <v>0</v>
      </c>
      <c r="G108" s="168">
        <f t="shared" si="21"/>
        <v>0</v>
      </c>
      <c r="H108" s="168">
        <f t="shared" si="21"/>
        <v>0</v>
      </c>
      <c r="I108" s="168">
        <f>SUM(I106:I107)</f>
        <v>6855.84</v>
      </c>
    </row>
    <row r="109" spans="1:9" ht="25.5" customHeight="1" thickBot="1">
      <c r="B109" s="109"/>
      <c r="C109" s="169" t="s">
        <v>206</v>
      </c>
      <c r="D109" s="170">
        <f>D108-[15]MADRE!$H$150</f>
        <v>0</v>
      </c>
      <c r="E109" s="170">
        <f>E108-[15]MADRE!$I$150</f>
        <v>0</v>
      </c>
      <c r="F109" s="170">
        <f>F108-[2]MADRE!J$155</f>
        <v>0</v>
      </c>
      <c r="G109" s="170">
        <f>G108-[2]MADRE!K$155</f>
        <v>0</v>
      </c>
      <c r="H109" s="170">
        <f>H108+[3]MADRE!$L$150</f>
        <v>0</v>
      </c>
      <c r="I109" s="170">
        <f>I108-[3]MADRE!$M$150</f>
        <v>0</v>
      </c>
    </row>
    <row r="110" spans="1:9" ht="15" customHeight="1">
      <c r="A110" s="54" t="s">
        <v>413</v>
      </c>
      <c r="B110" s="133"/>
      <c r="C110" s="28"/>
      <c r="D110" s="28"/>
      <c r="E110" s="28"/>
      <c r="F110" s="28"/>
      <c r="G110" s="28"/>
      <c r="H110" s="364"/>
      <c r="I110" s="28"/>
    </row>
    <row r="111" spans="1:9" ht="51" customHeight="1">
      <c r="A111" s="61" t="s">
        <v>327</v>
      </c>
      <c r="B111" s="44" t="s">
        <v>200</v>
      </c>
      <c r="C111" s="124" t="s">
        <v>253</v>
      </c>
      <c r="D111" s="174">
        <f>10038*1.04*1.05*1.05</f>
        <v>11509.570800000001</v>
      </c>
      <c r="E111" s="174">
        <f>441*1.04*1.05*1.05</f>
        <v>505.65060000000011</v>
      </c>
      <c r="F111" s="174"/>
      <c r="G111" s="174"/>
      <c r="H111" s="174"/>
      <c r="I111" s="174">
        <f>D111-E111+F111+H111</f>
        <v>11003.9202</v>
      </c>
    </row>
    <row r="112" spans="1:9" ht="51" customHeight="1" thickBot="1">
      <c r="A112" s="62" t="s">
        <v>365</v>
      </c>
      <c r="B112" s="38" t="s">
        <v>210</v>
      </c>
      <c r="C112" s="22" t="s">
        <v>225</v>
      </c>
      <c r="D112" s="266">
        <f>5410*1.05</f>
        <v>5680.5</v>
      </c>
      <c r="E112" s="266"/>
      <c r="F112" s="266">
        <v>90</v>
      </c>
      <c r="G112" s="266"/>
      <c r="H112" s="369"/>
      <c r="I112" s="266">
        <f>D112-E112+F112+H112</f>
        <v>5770.5</v>
      </c>
    </row>
    <row r="113" spans="1:9" ht="25.5" customHeight="1" thickTop="1" thickBot="1">
      <c r="B113" s="22"/>
      <c r="C113" s="53" t="s">
        <v>6</v>
      </c>
      <c r="D113" s="168">
        <f t="shared" ref="D113:H113" si="22">SUM(D111:D112)</f>
        <v>17190.070800000001</v>
      </c>
      <c r="E113" s="168">
        <f t="shared" si="22"/>
        <v>505.65060000000011</v>
      </c>
      <c r="F113" s="168">
        <f t="shared" si="22"/>
        <v>90</v>
      </c>
      <c r="G113" s="168">
        <f t="shared" si="22"/>
        <v>0</v>
      </c>
      <c r="H113" s="168">
        <f t="shared" si="22"/>
        <v>0</v>
      </c>
      <c r="I113" s="168">
        <f>SUM(I111:I112)</f>
        <v>16774.4202</v>
      </c>
    </row>
    <row r="114" spans="1:9" ht="25.5" customHeight="1" thickBot="1">
      <c r="B114" s="107"/>
      <c r="C114" s="169" t="s">
        <v>206</v>
      </c>
      <c r="D114" s="170">
        <f>D113-[1]MADRE!$H$159</f>
        <v>0</v>
      </c>
      <c r="E114" s="170">
        <f>E113-[1]MADRE!$I$159</f>
        <v>0</v>
      </c>
      <c r="F114" s="170">
        <f>F113-[16]MADRE!$J$163</f>
        <v>0</v>
      </c>
      <c r="G114" s="170">
        <f>G113-[2]MADRE!K$162</f>
        <v>0</v>
      </c>
      <c r="H114" s="170">
        <f>H113-[3]MADRE!$L$150</f>
        <v>0</v>
      </c>
      <c r="I114" s="170">
        <f>I113-[3]MADRE!$M$158</f>
        <v>0</v>
      </c>
    </row>
    <row r="115" spans="1:9" s="4" customFormat="1" ht="15" customHeight="1">
      <c r="A115" s="25" t="s">
        <v>251</v>
      </c>
      <c r="B115" s="108"/>
      <c r="C115" s="30"/>
      <c r="D115" s="30"/>
      <c r="E115" s="30"/>
      <c r="F115" s="30"/>
      <c r="G115" s="30"/>
      <c r="H115" s="384"/>
      <c r="I115" s="30"/>
    </row>
    <row r="116" spans="1:9" s="4" customFormat="1" ht="51" customHeight="1" thickBot="1">
      <c r="A116" s="61" t="s">
        <v>328</v>
      </c>
      <c r="B116" s="31" t="s">
        <v>200</v>
      </c>
      <c r="C116" s="33" t="s">
        <v>321</v>
      </c>
      <c r="D116" s="174">
        <f>7005*1.04*1.05*1.05</f>
        <v>8031.933</v>
      </c>
      <c r="E116" s="174">
        <f>157*1.04*1.05*1.05</f>
        <v>180.01620000000003</v>
      </c>
      <c r="F116" s="212"/>
      <c r="G116" s="212"/>
      <c r="H116" s="212"/>
      <c r="I116" s="174">
        <f>D116-E116+H116</f>
        <v>7851.9168</v>
      </c>
    </row>
    <row r="117" spans="1:9" ht="25.5" customHeight="1" thickTop="1" thickBot="1">
      <c r="A117" s="56"/>
      <c r="B117" s="22"/>
      <c r="C117" s="53" t="s">
        <v>6</v>
      </c>
      <c r="D117" s="175">
        <f t="shared" ref="D117:H117" si="23">SUM(D116:D116)</f>
        <v>8031.933</v>
      </c>
      <c r="E117" s="175">
        <f t="shared" si="23"/>
        <v>180.01620000000003</v>
      </c>
      <c r="F117" s="175">
        <f t="shared" si="23"/>
        <v>0</v>
      </c>
      <c r="G117" s="175">
        <f t="shared" si="23"/>
        <v>0</v>
      </c>
      <c r="H117" s="175">
        <f t="shared" si="23"/>
        <v>0</v>
      </c>
      <c r="I117" s="175">
        <f>SUM(I116:I116)</f>
        <v>7851.9168</v>
      </c>
    </row>
    <row r="118" spans="1:9" ht="25.5" customHeight="1">
      <c r="A118" s="56"/>
      <c r="B118" s="109"/>
      <c r="C118" s="172" t="s">
        <v>206</v>
      </c>
      <c r="D118" s="173">
        <f>D117-[1]MADRE!$H$166</f>
        <v>0</v>
      </c>
      <c r="E118" s="173">
        <f>E117-[1]MADRE!$I$166</f>
        <v>0</v>
      </c>
      <c r="F118" s="173">
        <f>F117-[17]MADRE!$J$177</f>
        <v>0</v>
      </c>
      <c r="G118" s="173">
        <f>G117-[2]MADRE!K$170</f>
        <v>0</v>
      </c>
      <c r="H118" s="173">
        <f>H117-[3]MADRE!$L$165</f>
        <v>0</v>
      </c>
      <c r="I118" s="173">
        <f>I117-[3]MADRE!$M$165</f>
        <v>0</v>
      </c>
    </row>
    <row r="119" spans="1:9" ht="15" customHeight="1">
      <c r="A119" s="25" t="s">
        <v>177</v>
      </c>
      <c r="B119" s="134"/>
      <c r="C119" s="32"/>
      <c r="D119" s="32"/>
      <c r="E119" s="32"/>
      <c r="F119" s="32"/>
      <c r="G119" s="32"/>
      <c r="H119" s="385"/>
      <c r="I119" s="32"/>
    </row>
    <row r="120" spans="1:9" ht="51" customHeight="1" thickBot="1">
      <c r="A120" s="65"/>
      <c r="B120" s="31" t="s">
        <v>201</v>
      </c>
      <c r="C120" s="31"/>
      <c r="D120" s="174"/>
      <c r="E120" s="174"/>
      <c r="F120" s="174"/>
      <c r="G120" s="174"/>
      <c r="H120" s="174"/>
      <c r="I120" s="174">
        <f>D120-E120</f>
        <v>0</v>
      </c>
    </row>
    <row r="121" spans="1:9" ht="25.5" customHeight="1" thickTop="1" thickBot="1">
      <c r="B121" s="22"/>
      <c r="C121" s="53" t="s">
        <v>6</v>
      </c>
      <c r="D121" s="175">
        <f t="shared" ref="D121:I121" si="24">SUM(D120)</f>
        <v>0</v>
      </c>
      <c r="E121" s="175">
        <f t="shared" si="24"/>
        <v>0</v>
      </c>
      <c r="F121" s="175">
        <f t="shared" si="24"/>
        <v>0</v>
      </c>
      <c r="G121" s="175">
        <f t="shared" si="24"/>
        <v>0</v>
      </c>
      <c r="H121" s="175">
        <f t="shared" si="24"/>
        <v>0</v>
      </c>
      <c r="I121" s="175">
        <f t="shared" si="24"/>
        <v>0</v>
      </c>
    </row>
    <row r="122" spans="1:9" ht="25.5" customHeight="1" thickBot="1">
      <c r="B122" s="107"/>
      <c r="C122" s="169" t="s">
        <v>206</v>
      </c>
      <c r="D122" s="170">
        <f>D121-[18]MADRE!$H$184</f>
        <v>0</v>
      </c>
      <c r="E122" s="170">
        <f>E121-[18]MADRE!$I$184</f>
        <v>0</v>
      </c>
      <c r="F122" s="170">
        <f>F121-[2]MADRE!J$177</f>
        <v>0</v>
      </c>
      <c r="G122" s="170">
        <f>G121-[2]MADRE!K$177</f>
        <v>0</v>
      </c>
      <c r="H122" s="170">
        <f>H121-[2]MADRE!L$177</f>
        <v>0</v>
      </c>
      <c r="I122" s="170">
        <f>I121-[18]MADRE!$M$184</f>
        <v>0</v>
      </c>
    </row>
    <row r="123" spans="1:9" ht="15" customHeight="1">
      <c r="A123" s="25" t="s">
        <v>385</v>
      </c>
      <c r="B123" s="106"/>
      <c r="C123" s="28"/>
      <c r="D123" s="28"/>
      <c r="E123" s="28"/>
      <c r="F123" s="28"/>
      <c r="G123" s="28"/>
      <c r="H123" s="364"/>
      <c r="I123" s="28"/>
    </row>
    <row r="124" spans="1:9" ht="53.25" customHeight="1">
      <c r="A124" s="77" t="s">
        <v>367</v>
      </c>
      <c r="B124" s="135" t="s">
        <v>200</v>
      </c>
      <c r="C124" s="124" t="s">
        <v>414</v>
      </c>
      <c r="D124" s="174">
        <f>10038*1.04*1.05*1.05</f>
        <v>11509.570800000001</v>
      </c>
      <c r="E124" s="174">
        <f>441*1.04*1.05*1.05</f>
        <v>505.65060000000011</v>
      </c>
      <c r="F124" s="41"/>
      <c r="G124" s="41"/>
      <c r="H124" s="41"/>
      <c r="I124" s="174">
        <f>D124-E124+H124</f>
        <v>11003.9202</v>
      </c>
    </row>
    <row r="125" spans="1:9" ht="51" customHeight="1">
      <c r="A125" s="62" t="s">
        <v>32</v>
      </c>
      <c r="B125" s="136" t="s">
        <v>200</v>
      </c>
      <c r="C125" s="22" t="s">
        <v>9</v>
      </c>
      <c r="D125" s="166">
        <f>6961*1.04*1.05*1.05</f>
        <v>7981.4826000000012</v>
      </c>
      <c r="E125" s="213">
        <f>362*1.04*1.05*1.05</f>
        <v>415.06920000000002</v>
      </c>
      <c r="F125" s="213"/>
      <c r="G125" s="213"/>
      <c r="H125" s="366"/>
      <c r="I125" s="166">
        <f>D125-E125+F125+G125+H125</f>
        <v>7566.4134000000013</v>
      </c>
    </row>
    <row r="126" spans="1:9" ht="51" customHeight="1">
      <c r="A126" s="62" t="s">
        <v>33</v>
      </c>
      <c r="B126" s="136" t="s">
        <v>200</v>
      </c>
      <c r="C126" s="22" t="s">
        <v>9</v>
      </c>
      <c r="D126" s="166">
        <f>5043*1.04*1.05*1.05</f>
        <v>5782.3038000000006</v>
      </c>
      <c r="E126" s="213"/>
      <c r="F126" s="213">
        <v>90</v>
      </c>
      <c r="G126" s="213"/>
      <c r="H126" s="366"/>
      <c r="I126" s="166">
        <f t="shared" ref="I126:I129" si="25">D126-E126+F126+G126+H126</f>
        <v>5872.3038000000006</v>
      </c>
    </row>
    <row r="127" spans="1:9" ht="51" customHeight="1">
      <c r="A127" s="62" t="s">
        <v>29</v>
      </c>
      <c r="B127" s="136" t="s">
        <v>200</v>
      </c>
      <c r="C127" s="23" t="s">
        <v>30</v>
      </c>
      <c r="D127" s="166">
        <f>10291*1.04*1.05*1.05</f>
        <v>11799.660600000003</v>
      </c>
      <c r="E127" s="214">
        <f>441*1.04*1.05*1.05</f>
        <v>505.65060000000011</v>
      </c>
      <c r="F127" s="214">
        <v>0</v>
      </c>
      <c r="G127" s="214"/>
      <c r="H127" s="366"/>
      <c r="I127" s="166">
        <f t="shared" si="25"/>
        <v>11294.010000000002</v>
      </c>
    </row>
    <row r="128" spans="1:9" ht="45" customHeight="1">
      <c r="A128" s="62" t="s">
        <v>250</v>
      </c>
      <c r="B128" s="22" t="s">
        <v>200</v>
      </c>
      <c r="C128" s="38" t="s">
        <v>225</v>
      </c>
      <c r="D128" s="167">
        <f>4530*1.04*1.05*1.05</f>
        <v>5194.0980000000009</v>
      </c>
      <c r="E128" s="166"/>
      <c r="F128" s="166">
        <v>90</v>
      </c>
      <c r="G128" s="166"/>
      <c r="H128" s="366"/>
      <c r="I128" s="166">
        <f t="shared" si="25"/>
        <v>5284.0980000000009</v>
      </c>
    </row>
    <row r="129" spans="1:9" ht="51" customHeight="1" thickBot="1">
      <c r="A129" s="62" t="s">
        <v>31</v>
      </c>
      <c r="B129" s="137" t="s">
        <v>200</v>
      </c>
      <c r="C129" s="160" t="s">
        <v>30</v>
      </c>
      <c r="D129" s="166">
        <f>6603*1.04*1.05*1.05</f>
        <v>7570.9998000000005</v>
      </c>
      <c r="E129" s="214">
        <f>132*1.04*1.05*1.05</f>
        <v>151.35120000000001</v>
      </c>
      <c r="F129" s="214"/>
      <c r="G129" s="214"/>
      <c r="H129" s="366"/>
      <c r="I129" s="166">
        <f t="shared" si="25"/>
        <v>7419.6486000000004</v>
      </c>
    </row>
    <row r="130" spans="1:9" ht="25.5" customHeight="1" thickTop="1" thickBot="1">
      <c r="A130" s="62"/>
      <c r="B130" s="136"/>
      <c r="C130" s="53" t="s">
        <v>6</v>
      </c>
      <c r="D130" s="175">
        <f t="shared" ref="D130:G130" si="26">SUM(D124:D129)</f>
        <v>49838.115600000005</v>
      </c>
      <c r="E130" s="175">
        <f t="shared" si="26"/>
        <v>1577.7216000000003</v>
      </c>
      <c r="F130" s="175">
        <f t="shared" si="26"/>
        <v>180</v>
      </c>
      <c r="G130" s="175">
        <f t="shared" si="26"/>
        <v>0</v>
      </c>
      <c r="H130" s="175">
        <f>SUM(H124:H129)</f>
        <v>0</v>
      </c>
      <c r="I130" s="175">
        <f>SUM(I124:I129)</f>
        <v>48440.394</v>
      </c>
    </row>
    <row r="131" spans="1:9" ht="25.5" customHeight="1" thickBot="1">
      <c r="A131" s="62"/>
      <c r="B131" s="107"/>
      <c r="C131" s="172" t="s">
        <v>206</v>
      </c>
      <c r="D131" s="173">
        <f>D130-[1]MADRE!$H$185</f>
        <v>0</v>
      </c>
      <c r="E131" s="173">
        <f>E130-[1]MADRE!$I$185</f>
        <v>0</v>
      </c>
      <c r="F131" s="173">
        <f>F130-[5]MADRE!$J$194</f>
        <v>0</v>
      </c>
      <c r="G131" s="173">
        <f>G130-[2]MADRE!K$187</f>
        <v>0</v>
      </c>
      <c r="H131" s="173">
        <f>H130-[3]MADRE!$L$184</f>
        <v>0</v>
      </c>
      <c r="I131" s="173">
        <f>I130-[3]MADRE!$M$184</f>
        <v>0</v>
      </c>
    </row>
    <row r="132" spans="1:9" ht="15" customHeight="1">
      <c r="A132" s="57" t="s">
        <v>179</v>
      </c>
      <c r="B132" s="138"/>
      <c r="C132" s="215"/>
      <c r="D132" s="216"/>
      <c r="E132" s="216"/>
      <c r="F132" s="216"/>
      <c r="G132" s="216"/>
      <c r="H132" s="216"/>
      <c r="I132" s="216"/>
    </row>
    <row r="133" spans="1:9" ht="51" customHeight="1">
      <c r="A133" s="61" t="s">
        <v>402</v>
      </c>
      <c r="B133" s="139" t="s">
        <v>200</v>
      </c>
      <c r="C133" s="140" t="s">
        <v>208</v>
      </c>
      <c r="D133" s="171">
        <f>8000*1.05*1.05*1.05</f>
        <v>9261</v>
      </c>
      <c r="E133" s="171">
        <f>367*1.05*1.05*1.05</f>
        <v>424.84837500000009</v>
      </c>
      <c r="F133" s="195"/>
      <c r="G133" s="195"/>
      <c r="H133" s="195"/>
      <c r="I133" s="174">
        <f>D133-E133+F133+G133+H133</f>
        <v>8836.1516250000004</v>
      </c>
    </row>
    <row r="134" spans="1:9" ht="51" customHeight="1">
      <c r="A134" s="78" t="s">
        <v>112</v>
      </c>
      <c r="B134" s="114" t="s">
        <v>200</v>
      </c>
      <c r="C134" s="217" t="s">
        <v>65</v>
      </c>
      <c r="D134" s="166">
        <f>6019*1.05*1.05*1.05</f>
        <v>6967.7448750000003</v>
      </c>
      <c r="E134" s="166">
        <f>183*1.05*1.05*1.05</f>
        <v>211.84537500000002</v>
      </c>
      <c r="F134" s="199"/>
      <c r="G134" s="199"/>
      <c r="H134" s="367"/>
      <c r="I134" s="166">
        <f>D134-E134+F134+G134+H134</f>
        <v>6755.8995000000004</v>
      </c>
    </row>
    <row r="135" spans="1:9" ht="51" customHeight="1">
      <c r="A135" s="62" t="s">
        <v>123</v>
      </c>
      <c r="B135" s="114" t="s">
        <v>200</v>
      </c>
      <c r="C135" s="218" t="s">
        <v>118</v>
      </c>
      <c r="D135" s="166">
        <f>7215*1.05*1.05*1.05</f>
        <v>8352.2643750000007</v>
      </c>
      <c r="E135" s="166">
        <f>231*1.05*1.05</f>
        <v>254.67750000000001</v>
      </c>
      <c r="F135" s="166"/>
      <c r="G135" s="166"/>
      <c r="H135" s="367"/>
      <c r="I135" s="166">
        <f t="shared" ref="I135:I143" si="27">D135-E135+F135+G135+H135</f>
        <v>8097.5868750000009</v>
      </c>
    </row>
    <row r="136" spans="1:9" ht="51" customHeight="1">
      <c r="A136" s="62" t="s">
        <v>124</v>
      </c>
      <c r="B136" s="114" t="s">
        <v>200</v>
      </c>
      <c r="C136" s="165" t="s">
        <v>118</v>
      </c>
      <c r="D136" s="166">
        <f>6432*1.05*1.05*1.05</f>
        <v>7445.844000000001</v>
      </c>
      <c r="E136" s="166">
        <f>183*1.05*1.05*1.05</f>
        <v>211.84537500000002</v>
      </c>
      <c r="F136" s="166"/>
      <c r="G136" s="166"/>
      <c r="H136" s="367"/>
      <c r="I136" s="166">
        <f t="shared" si="27"/>
        <v>7233.9986250000011</v>
      </c>
    </row>
    <row r="137" spans="1:9" ht="51" customHeight="1">
      <c r="A137" s="60" t="s">
        <v>233</v>
      </c>
      <c r="B137" s="38" t="s">
        <v>200</v>
      </c>
      <c r="C137" s="220" t="s">
        <v>118</v>
      </c>
      <c r="D137" s="166">
        <f>5677*1.05*1.05*1.05</f>
        <v>6571.8371250000009</v>
      </c>
      <c r="E137" s="166">
        <f>157*1.05*1.05*1.05</f>
        <v>181.74712500000001</v>
      </c>
      <c r="F137" s="166"/>
      <c r="G137" s="166"/>
      <c r="H137" s="367"/>
      <c r="I137" s="166">
        <f t="shared" si="27"/>
        <v>6390.0900000000011</v>
      </c>
    </row>
    <row r="138" spans="1:9" ht="51" customHeight="1">
      <c r="A138" s="60" t="s">
        <v>293</v>
      </c>
      <c r="B138" s="38" t="s">
        <v>200</v>
      </c>
      <c r="C138" s="220" t="s">
        <v>118</v>
      </c>
      <c r="D138" s="166">
        <f>5677*1.05*1.05*1.05</f>
        <v>6571.8371250000009</v>
      </c>
      <c r="E138" s="166">
        <f>157*1.05*1.05*1.05</f>
        <v>181.74712500000001</v>
      </c>
      <c r="F138" s="166"/>
      <c r="G138" s="166"/>
      <c r="H138" s="367"/>
      <c r="I138" s="166">
        <f t="shared" si="27"/>
        <v>6390.0900000000011</v>
      </c>
    </row>
    <row r="139" spans="1:9" ht="51" customHeight="1">
      <c r="A139" s="60" t="s">
        <v>304</v>
      </c>
      <c r="B139" s="38" t="s">
        <v>305</v>
      </c>
      <c r="C139" s="220" t="s">
        <v>232</v>
      </c>
      <c r="D139" s="166">
        <f>5145*1.05*1.05*1.05</f>
        <v>5955.9806250000001</v>
      </c>
      <c r="E139" s="166">
        <f>157*1.05*1.05*1.05</f>
        <v>181.74712500000001</v>
      </c>
      <c r="F139" s="166"/>
      <c r="G139" s="166"/>
      <c r="H139" s="367"/>
      <c r="I139" s="166">
        <f t="shared" si="27"/>
        <v>5774.2335000000003</v>
      </c>
    </row>
    <row r="140" spans="1:9" ht="51" customHeight="1">
      <c r="A140" s="62" t="s">
        <v>308</v>
      </c>
      <c r="B140" s="38" t="s">
        <v>210</v>
      </c>
      <c r="C140" s="220" t="s">
        <v>118</v>
      </c>
      <c r="D140" s="166">
        <f>5145*1.05*1.05*1.05</f>
        <v>5955.9806250000001</v>
      </c>
      <c r="E140" s="166">
        <f>157*1.05*1.05*1.05</f>
        <v>181.74712500000001</v>
      </c>
      <c r="F140" s="166"/>
      <c r="G140" s="203"/>
      <c r="H140" s="367"/>
      <c r="I140" s="166">
        <f t="shared" si="27"/>
        <v>5774.2335000000003</v>
      </c>
    </row>
    <row r="141" spans="1:9" ht="51" customHeight="1">
      <c r="A141" s="62" t="s">
        <v>360</v>
      </c>
      <c r="B141" s="38" t="s">
        <v>210</v>
      </c>
      <c r="C141" s="220" t="s">
        <v>118</v>
      </c>
      <c r="D141" s="166">
        <f>5050*1.05*1.05*1.05</f>
        <v>5846.0062500000004</v>
      </c>
      <c r="E141" s="166">
        <f>140*1.05*1.05*1.05</f>
        <v>162.0675</v>
      </c>
      <c r="F141" s="181"/>
      <c r="G141" s="219"/>
      <c r="H141" s="367"/>
      <c r="I141" s="166">
        <f t="shared" si="27"/>
        <v>5683.9387500000003</v>
      </c>
    </row>
    <row r="142" spans="1:9" ht="51" customHeight="1">
      <c r="A142" s="62" t="s">
        <v>498</v>
      </c>
      <c r="B142" s="38" t="s">
        <v>210</v>
      </c>
      <c r="C142" s="220" t="s">
        <v>118</v>
      </c>
      <c r="D142" s="166">
        <v>6181.75</v>
      </c>
      <c r="E142" s="166">
        <v>181.75</v>
      </c>
      <c r="F142" s="308"/>
      <c r="G142" s="219"/>
      <c r="H142" s="367"/>
      <c r="I142" s="166">
        <f t="shared" si="27"/>
        <v>6000</v>
      </c>
    </row>
    <row r="143" spans="1:9" ht="51" customHeight="1" thickBot="1">
      <c r="A143" s="70" t="s">
        <v>61</v>
      </c>
      <c r="B143" s="141" t="s">
        <v>210</v>
      </c>
      <c r="C143" s="49" t="s">
        <v>373</v>
      </c>
      <c r="D143" s="269">
        <f>5545*1.05*1.05*1.05</f>
        <v>6419.0306250000003</v>
      </c>
      <c r="E143" s="269">
        <f>103.95*1.05*1.05</f>
        <v>114.60487500000001</v>
      </c>
      <c r="F143" s="296"/>
      <c r="G143" s="296">
        <v>126</v>
      </c>
      <c r="H143" s="387"/>
      <c r="I143" s="266">
        <f t="shared" si="27"/>
        <v>6430.4257500000003</v>
      </c>
    </row>
    <row r="144" spans="1:9" ht="25.5" customHeight="1" thickTop="1" thickBot="1">
      <c r="A144" s="79"/>
      <c r="B144" s="22"/>
      <c r="C144" s="53" t="s">
        <v>6</v>
      </c>
      <c r="D144" s="176">
        <f t="shared" ref="D144:H144" si="28">SUM(D133:D143)</f>
        <v>75529.275624999995</v>
      </c>
      <c r="E144" s="176">
        <f t="shared" si="28"/>
        <v>2288.6275000000005</v>
      </c>
      <c r="F144" s="176">
        <f t="shared" si="28"/>
        <v>0</v>
      </c>
      <c r="G144" s="176">
        <f t="shared" si="28"/>
        <v>126</v>
      </c>
      <c r="H144" s="176">
        <f t="shared" si="28"/>
        <v>0</v>
      </c>
      <c r="I144" s="176">
        <f>SUM(I133:I143)</f>
        <v>73366.648125000007</v>
      </c>
    </row>
    <row r="145" spans="1:9" ht="25.5" customHeight="1" thickBot="1">
      <c r="A145" s="79"/>
      <c r="B145" s="107"/>
      <c r="C145" s="169" t="s">
        <v>206</v>
      </c>
      <c r="D145" s="170">
        <f>D144-[19]MADRE!$H$198</f>
        <v>0</v>
      </c>
      <c r="E145" s="170">
        <f>E144-[19]MADRE!$I$198</f>
        <v>0</v>
      </c>
      <c r="F145" s="170">
        <f>F144-[2]MADRE!J$200</f>
        <v>0</v>
      </c>
      <c r="G145" s="170">
        <f>G144-[16]MADRE!$K$203</f>
        <v>0</v>
      </c>
      <c r="H145" s="170">
        <f>H144-[3]MADRE!$L$198</f>
        <v>0</v>
      </c>
      <c r="I145" s="383">
        <f>I144-[19]MADRE!$M$198</f>
        <v>0</v>
      </c>
    </row>
    <row r="146" spans="1:9" ht="15" customHeight="1">
      <c r="A146" s="25" t="s">
        <v>180</v>
      </c>
      <c r="B146" s="106"/>
      <c r="C146" s="28"/>
      <c r="D146" s="28"/>
      <c r="E146" s="28"/>
      <c r="F146" s="28"/>
      <c r="G146" s="28"/>
      <c r="H146" s="364"/>
      <c r="I146" s="28"/>
    </row>
    <row r="147" spans="1:9" ht="51" customHeight="1" thickBot="1">
      <c r="A147" s="62" t="s">
        <v>474</v>
      </c>
      <c r="B147" s="38" t="s">
        <v>210</v>
      </c>
      <c r="C147" s="37" t="s">
        <v>475</v>
      </c>
      <c r="D147" s="269">
        <f>3900</f>
        <v>3900</v>
      </c>
      <c r="E147" s="269"/>
      <c r="F147" s="269"/>
      <c r="G147" s="269"/>
      <c r="H147" s="288"/>
      <c r="I147" s="265">
        <f>D147-E147+F147+H147</f>
        <v>3900</v>
      </c>
    </row>
    <row r="148" spans="1:9" ht="25.5" customHeight="1" thickTop="1" thickBot="1">
      <c r="B148" s="22"/>
      <c r="C148" s="53" t="s">
        <v>6</v>
      </c>
      <c r="D148" s="176">
        <f t="shared" ref="D148:H148" si="29">SUM(D147:D147)</f>
        <v>3900</v>
      </c>
      <c r="E148" s="176">
        <f t="shared" si="29"/>
        <v>0</v>
      </c>
      <c r="F148" s="176">
        <f t="shared" si="29"/>
        <v>0</v>
      </c>
      <c r="G148" s="176">
        <f t="shared" si="29"/>
        <v>0</v>
      </c>
      <c r="H148" s="176">
        <f t="shared" si="29"/>
        <v>0</v>
      </c>
      <c r="I148" s="176">
        <f>SUM(I147:I147)</f>
        <v>3900</v>
      </c>
    </row>
    <row r="149" spans="1:9" ht="25.5" customHeight="1" thickBot="1">
      <c r="B149" s="107"/>
      <c r="C149" s="169" t="s">
        <v>206</v>
      </c>
      <c r="D149" s="185">
        <f>D148-[15]MADRE!$H$205</f>
        <v>0</v>
      </c>
      <c r="E149" s="185">
        <f>E148-[15]MADRE!$I$205</f>
        <v>0</v>
      </c>
      <c r="F149" s="185">
        <f>F148-[10]MADRE!$J$220</f>
        <v>0</v>
      </c>
      <c r="G149" s="185">
        <f>G148-[2]MADRE!K$216</f>
        <v>0</v>
      </c>
      <c r="H149" s="185">
        <f>H148-[1]MADRE!$L$207</f>
        <v>0</v>
      </c>
      <c r="I149" s="185">
        <f>I148-[15]MADRE!$M$205</f>
        <v>0</v>
      </c>
    </row>
    <row r="150" spans="1:9" ht="15" customHeight="1">
      <c r="A150" s="25" t="s">
        <v>181</v>
      </c>
      <c r="B150" s="106"/>
      <c r="C150" s="28"/>
      <c r="D150" s="28"/>
      <c r="E150" s="28"/>
      <c r="F150" s="28"/>
      <c r="G150" s="28"/>
      <c r="H150" s="364"/>
      <c r="I150" s="28"/>
    </row>
    <row r="151" spans="1:9" s="16" customFormat="1" ht="43.5" customHeight="1">
      <c r="A151" s="81" t="s">
        <v>330</v>
      </c>
      <c r="B151" s="44" t="s">
        <v>287</v>
      </c>
      <c r="C151" s="124" t="s">
        <v>414</v>
      </c>
      <c r="D151" s="174">
        <v>0</v>
      </c>
      <c r="E151" s="174">
        <v>0</v>
      </c>
      <c r="F151" s="174"/>
      <c r="G151" s="174"/>
      <c r="H151" s="174"/>
      <c r="I151" s="174">
        <f>D151-E151+F151+H151</f>
        <v>0</v>
      </c>
    </row>
    <row r="152" spans="1:9" ht="48.95" customHeight="1">
      <c r="A152" s="82" t="s">
        <v>39</v>
      </c>
      <c r="B152" s="36" t="s">
        <v>201</v>
      </c>
      <c r="C152" s="46" t="s">
        <v>421</v>
      </c>
      <c r="D152" s="199">
        <f>4668*1.05*1.05*1.05+6105.78</f>
        <v>11509.573500000002</v>
      </c>
      <c r="E152" s="221">
        <v>505.65</v>
      </c>
      <c r="F152" s="222"/>
      <c r="G152" s="222"/>
      <c r="H152" s="166"/>
      <c r="I152" s="166">
        <f>D152-E152+F152+H152</f>
        <v>11003.923500000003</v>
      </c>
    </row>
    <row r="153" spans="1:9" ht="48.95" customHeight="1">
      <c r="A153" s="83" t="s">
        <v>38</v>
      </c>
      <c r="B153" s="36" t="s">
        <v>201</v>
      </c>
      <c r="C153" s="224" t="s">
        <v>217</v>
      </c>
      <c r="D153" s="198">
        <f>5429*1.05*1.05*1.05</f>
        <v>6284.7461249999997</v>
      </c>
      <c r="E153" s="181"/>
      <c r="F153" s="307">
        <v>90</v>
      </c>
      <c r="G153" s="307"/>
      <c r="H153" s="166"/>
      <c r="I153" s="166">
        <f t="shared" ref="I153:I165" si="30">D153-E153+F153+H153</f>
        <v>6374.7461249999997</v>
      </c>
    </row>
    <row r="154" spans="1:9" ht="48.95" customHeight="1">
      <c r="A154" s="89" t="s">
        <v>37</v>
      </c>
      <c r="B154" s="35" t="s">
        <v>201</v>
      </c>
      <c r="C154" s="115" t="s">
        <v>218</v>
      </c>
      <c r="D154" s="178">
        <f>4075*1.05*1.05*1.05</f>
        <v>4717.3218750000005</v>
      </c>
      <c r="E154" s="181"/>
      <c r="F154" s="307">
        <v>150</v>
      </c>
      <c r="G154" s="307"/>
      <c r="H154" s="166"/>
      <c r="I154" s="166">
        <f t="shared" si="30"/>
        <v>4867.3218750000005</v>
      </c>
    </row>
    <row r="155" spans="1:9" ht="48.95" customHeight="1">
      <c r="A155" s="91" t="s">
        <v>36</v>
      </c>
      <c r="B155" s="35" t="s">
        <v>201</v>
      </c>
      <c r="C155" s="225" t="s">
        <v>219</v>
      </c>
      <c r="D155" s="178">
        <f>4075*1.05*1.05*1.05</f>
        <v>4717.3218750000005</v>
      </c>
      <c r="E155" s="234"/>
      <c r="F155" s="308">
        <v>150</v>
      </c>
      <c r="G155" s="308"/>
      <c r="H155" s="166"/>
      <c r="I155" s="166">
        <f t="shared" si="30"/>
        <v>4867.3218750000005</v>
      </c>
    </row>
    <row r="156" spans="1:9" ht="48.95" customHeight="1">
      <c r="A156" s="318" t="s">
        <v>41</v>
      </c>
      <c r="B156" s="319" t="s">
        <v>201</v>
      </c>
      <c r="C156" s="320" t="s">
        <v>220</v>
      </c>
      <c r="D156" s="321">
        <v>0</v>
      </c>
      <c r="E156" s="322"/>
      <c r="F156" s="323">
        <v>0</v>
      </c>
      <c r="G156" s="324"/>
      <c r="H156" s="166"/>
      <c r="I156" s="166">
        <f t="shared" si="30"/>
        <v>0</v>
      </c>
    </row>
    <row r="157" spans="1:9" ht="48.95" customHeight="1">
      <c r="A157" s="85" t="s">
        <v>40</v>
      </c>
      <c r="B157" s="50" t="s">
        <v>201</v>
      </c>
      <c r="C157" s="115" t="s">
        <v>221</v>
      </c>
      <c r="D157" s="178">
        <f>4075*1.05*1.05*1.05</f>
        <v>4717.3218750000005</v>
      </c>
      <c r="E157" s="178"/>
      <c r="F157" s="180">
        <v>142</v>
      </c>
      <c r="G157" s="307"/>
      <c r="H157" s="166"/>
      <c r="I157" s="166">
        <f t="shared" si="30"/>
        <v>4859.3218750000005</v>
      </c>
    </row>
    <row r="158" spans="1:9" ht="48.75" customHeight="1">
      <c r="A158" s="292" t="s">
        <v>42</v>
      </c>
      <c r="B158" s="143" t="s">
        <v>201</v>
      </c>
      <c r="C158" s="116" t="s">
        <v>221</v>
      </c>
      <c r="D158" s="178">
        <f>4075*1.05*1.05*1.05</f>
        <v>4717.3218750000005</v>
      </c>
      <c r="E158" s="167"/>
      <c r="F158" s="167">
        <v>142</v>
      </c>
      <c r="G158" s="167"/>
      <c r="H158" s="166"/>
      <c r="I158" s="166">
        <f t="shared" si="30"/>
        <v>4859.3218750000005</v>
      </c>
    </row>
    <row r="159" spans="1:9" ht="48.75" customHeight="1">
      <c r="A159" s="60" t="s">
        <v>256</v>
      </c>
      <c r="B159" s="22" t="s">
        <v>201</v>
      </c>
      <c r="C159" s="23" t="s">
        <v>300</v>
      </c>
      <c r="D159" s="166">
        <f>3885*1.05*1.05*1.05</f>
        <v>4497.373125000001</v>
      </c>
      <c r="E159" s="166"/>
      <c r="F159" s="167">
        <v>142</v>
      </c>
      <c r="G159" s="167"/>
      <c r="H159" s="166"/>
      <c r="I159" s="166">
        <f t="shared" si="30"/>
        <v>4639.373125000001</v>
      </c>
    </row>
    <row r="160" spans="1:9" ht="48.75" customHeight="1">
      <c r="A160" s="60" t="s">
        <v>257</v>
      </c>
      <c r="B160" s="22" t="s">
        <v>201</v>
      </c>
      <c r="C160" s="23" t="s">
        <v>300</v>
      </c>
      <c r="D160" s="166">
        <f>3885*1.05*1.05*1.05</f>
        <v>4497.373125000001</v>
      </c>
      <c r="E160" s="166"/>
      <c r="F160" s="167">
        <v>142</v>
      </c>
      <c r="G160" s="167"/>
      <c r="H160" s="166"/>
      <c r="I160" s="166">
        <f t="shared" si="30"/>
        <v>4639.373125000001</v>
      </c>
    </row>
    <row r="161" spans="1:9" ht="48.75" customHeight="1">
      <c r="A161" s="60" t="s">
        <v>283</v>
      </c>
      <c r="B161" s="22" t="s">
        <v>201</v>
      </c>
      <c r="C161" s="23" t="s">
        <v>300</v>
      </c>
      <c r="D161" s="166">
        <f>3885*1.05*1.05*1.05</f>
        <v>4497.373125000001</v>
      </c>
      <c r="E161" s="166"/>
      <c r="F161" s="167">
        <v>142</v>
      </c>
      <c r="G161" s="167"/>
      <c r="H161" s="166"/>
      <c r="I161" s="166">
        <f t="shared" si="30"/>
        <v>4639.373125000001</v>
      </c>
    </row>
    <row r="162" spans="1:9" ht="48.75" customHeight="1">
      <c r="A162" s="60" t="s">
        <v>296</v>
      </c>
      <c r="B162" s="22" t="s">
        <v>201</v>
      </c>
      <c r="C162" s="23" t="s">
        <v>300</v>
      </c>
      <c r="D162" s="166">
        <f>3885*1.05*1.05*1.05</f>
        <v>4497.373125000001</v>
      </c>
      <c r="E162" s="166"/>
      <c r="F162" s="167">
        <v>142</v>
      </c>
      <c r="G162" s="167"/>
      <c r="H162" s="166"/>
      <c r="I162" s="166">
        <f t="shared" si="30"/>
        <v>4639.373125000001</v>
      </c>
    </row>
    <row r="163" spans="1:9" ht="48.75" customHeight="1">
      <c r="A163" s="86" t="s">
        <v>279</v>
      </c>
      <c r="B163" s="22" t="s">
        <v>201</v>
      </c>
      <c r="C163" s="23" t="s">
        <v>307</v>
      </c>
      <c r="D163" s="166">
        <f>3885*1.05*1.05*1.05</f>
        <v>4497.373125000001</v>
      </c>
      <c r="E163" s="166"/>
      <c r="F163" s="167">
        <v>142</v>
      </c>
      <c r="G163" s="167"/>
      <c r="H163" s="166"/>
      <c r="I163" s="166">
        <f t="shared" si="30"/>
        <v>4639.373125000001</v>
      </c>
    </row>
    <row r="164" spans="1:9" s="4" customFormat="1" ht="51" customHeight="1">
      <c r="A164" s="86" t="s">
        <v>395</v>
      </c>
      <c r="B164" s="38" t="s">
        <v>201</v>
      </c>
      <c r="C164" s="23" t="s">
        <v>423</v>
      </c>
      <c r="D164" s="166">
        <f>5822.25*1.05*1.05</f>
        <v>6419.0306250000003</v>
      </c>
      <c r="E164" s="166">
        <f>103.95*1.05*1.05</f>
        <v>114.60487500000001</v>
      </c>
      <c r="F164" s="166"/>
      <c r="G164" s="166">
        <v>126</v>
      </c>
      <c r="H164" s="166"/>
      <c r="I164" s="166">
        <f>D164-E164+F164+H164+G164</f>
        <v>6430.4257500000003</v>
      </c>
    </row>
    <row r="165" spans="1:9" ht="48.75" customHeight="1" thickBot="1">
      <c r="A165" s="86" t="s">
        <v>331</v>
      </c>
      <c r="B165" s="22" t="s">
        <v>201</v>
      </c>
      <c r="C165" s="23" t="s">
        <v>451</v>
      </c>
      <c r="D165" s="166">
        <f>3885*1.05*1.05*1.05</f>
        <v>4497.373125000001</v>
      </c>
      <c r="E165" s="166"/>
      <c r="F165" s="167">
        <v>142</v>
      </c>
      <c r="G165" s="167"/>
      <c r="H165" s="166"/>
      <c r="I165" s="166">
        <f t="shared" si="30"/>
        <v>4639.373125000001</v>
      </c>
    </row>
    <row r="166" spans="1:9" ht="25.5" customHeight="1" thickTop="1" thickBot="1">
      <c r="A166" s="87"/>
      <c r="B166" s="22"/>
      <c r="C166" s="53" t="s">
        <v>6</v>
      </c>
      <c r="D166" s="175">
        <f t="shared" ref="D166:H166" si="31">SUM(D151:D165)</f>
        <v>70066.876499999998</v>
      </c>
      <c r="E166" s="175">
        <f t="shared" si="31"/>
        <v>620.25487499999997</v>
      </c>
      <c r="F166" s="175">
        <f t="shared" si="31"/>
        <v>1526</v>
      </c>
      <c r="G166" s="175">
        <f t="shared" si="31"/>
        <v>126</v>
      </c>
      <c r="H166" s="175">
        <f t="shared" si="31"/>
        <v>0</v>
      </c>
      <c r="I166" s="175">
        <f>SUM(I151:I165)</f>
        <v>71098.621625</v>
      </c>
    </row>
    <row r="167" spans="1:9" ht="25.5" customHeight="1" thickBot="1">
      <c r="A167" s="87"/>
      <c r="B167" s="107"/>
      <c r="C167" s="169" t="s">
        <v>206</v>
      </c>
      <c r="D167" s="170">
        <f>D166-[19]MADRE!$H$227</f>
        <v>0</v>
      </c>
      <c r="E167" s="170">
        <f>E166-[19]MADRE!$I$227</f>
        <v>0</v>
      </c>
      <c r="F167" s="170">
        <f>F166-[19]MADRE!$J$227</f>
        <v>0</v>
      </c>
      <c r="G167" s="170">
        <f>G166-[20]MADRE!$K$239</f>
        <v>0</v>
      </c>
      <c r="H167" s="170">
        <f>H166-[3]MADRE!$L$226</f>
        <v>0</v>
      </c>
      <c r="I167" s="170">
        <f>I166-[19]MADRE!$M$227</f>
        <v>0</v>
      </c>
    </row>
    <row r="168" spans="1:9" ht="15" customHeight="1">
      <c r="A168" s="25" t="s">
        <v>182</v>
      </c>
      <c r="B168" s="106"/>
      <c r="C168" s="28"/>
      <c r="D168" s="28"/>
      <c r="E168" s="28"/>
      <c r="F168" s="28"/>
      <c r="G168" s="28"/>
      <c r="H168" s="364"/>
      <c r="I168" s="28"/>
    </row>
    <row r="169" spans="1:9" ht="51" customHeight="1">
      <c r="A169" s="62" t="s">
        <v>18</v>
      </c>
      <c r="B169" s="144" t="s">
        <v>200</v>
      </c>
      <c r="C169" s="46" t="s">
        <v>20</v>
      </c>
      <c r="D169" s="166">
        <f>4790*1.04*1.05*1.05</f>
        <v>5492.2140000000009</v>
      </c>
      <c r="E169" s="166"/>
      <c r="F169" s="166">
        <v>90</v>
      </c>
      <c r="G169" s="166"/>
      <c r="H169" s="168"/>
      <c r="I169" s="166">
        <f>D169-E169+F169+H169</f>
        <v>5582.2140000000009</v>
      </c>
    </row>
    <row r="170" spans="1:9" ht="51" customHeight="1">
      <c r="A170" s="70" t="s">
        <v>13</v>
      </c>
      <c r="B170" s="34" t="s">
        <v>210</v>
      </c>
      <c r="C170" s="146" t="s">
        <v>445</v>
      </c>
      <c r="D170" s="167">
        <f>6928*1.04*1.05*1.05</f>
        <v>7943.6448000000009</v>
      </c>
      <c r="E170" s="167">
        <f>220*1.04*1.05*1.05</f>
        <v>252.25200000000001</v>
      </c>
      <c r="F170" s="180"/>
      <c r="G170" s="180"/>
      <c r="H170" s="168"/>
      <c r="I170" s="166">
        <f t="shared" ref="I170:I171" si="32">D170-E170+F170+H170</f>
        <v>7691.3928000000005</v>
      </c>
    </row>
    <row r="171" spans="1:9" ht="51" customHeight="1" thickBot="1">
      <c r="A171" s="62" t="s">
        <v>23</v>
      </c>
      <c r="B171" s="114" t="s">
        <v>200</v>
      </c>
      <c r="C171" s="50" t="s">
        <v>25</v>
      </c>
      <c r="D171" s="166">
        <f>3185*1.05*1.05*1.05</f>
        <v>3687.0356250000004</v>
      </c>
      <c r="E171" s="166"/>
      <c r="F171" s="166">
        <v>142</v>
      </c>
      <c r="G171" s="166"/>
      <c r="H171" s="168"/>
      <c r="I171" s="166">
        <f t="shared" si="32"/>
        <v>3829.0356250000004</v>
      </c>
    </row>
    <row r="172" spans="1:9" ht="25.5" customHeight="1" thickTop="1" thickBot="1">
      <c r="A172" s="87"/>
      <c r="B172" s="22"/>
      <c r="C172" s="53" t="s">
        <v>6</v>
      </c>
      <c r="D172" s="175">
        <f t="shared" ref="D172:H172" si="33">SUM(D169:D171)</f>
        <v>17122.894425000002</v>
      </c>
      <c r="E172" s="175">
        <f t="shared" si="33"/>
        <v>252.25200000000001</v>
      </c>
      <c r="F172" s="175">
        <f t="shared" si="33"/>
        <v>232</v>
      </c>
      <c r="G172" s="175">
        <f t="shared" si="33"/>
        <v>0</v>
      </c>
      <c r="H172" s="175">
        <f t="shared" si="33"/>
        <v>0</v>
      </c>
      <c r="I172" s="175">
        <f>SUM(I169:I171)</f>
        <v>17102.642425000002</v>
      </c>
    </row>
    <row r="173" spans="1:9" ht="25.5" customHeight="1" thickBot="1">
      <c r="A173" s="87"/>
      <c r="B173" s="107"/>
      <c r="C173" s="169" t="s">
        <v>206</v>
      </c>
      <c r="D173" s="173">
        <f>D172-[21]MADRE!$H$237</f>
        <v>0</v>
      </c>
      <c r="E173" s="173">
        <f>E172-[21]MADRE!$I$237</f>
        <v>0</v>
      </c>
      <c r="F173" s="173">
        <f>F172-[10]MADRE!$J$249</f>
        <v>0</v>
      </c>
      <c r="G173" s="173"/>
      <c r="H173" s="173">
        <f>H172-[3]MADRE!$L$235</f>
        <v>0</v>
      </c>
      <c r="I173" s="173">
        <f>I172-[3]MADRE!$M$235</f>
        <v>0</v>
      </c>
    </row>
    <row r="174" spans="1:9" ht="15" customHeight="1">
      <c r="A174" s="25" t="s">
        <v>183</v>
      </c>
      <c r="B174" s="106"/>
      <c r="C174" s="28"/>
      <c r="D174" s="66"/>
      <c r="E174" s="32"/>
      <c r="F174" s="32"/>
      <c r="G174" s="32"/>
      <c r="H174" s="385"/>
      <c r="I174" s="32"/>
    </row>
    <row r="175" spans="1:9" ht="51" customHeight="1">
      <c r="A175" s="65" t="s">
        <v>333</v>
      </c>
      <c r="B175" s="145" t="s">
        <v>200</v>
      </c>
      <c r="C175" s="226" t="s">
        <v>264</v>
      </c>
      <c r="D175" s="174">
        <f>10038*1.04*1.05*1.05</f>
        <v>11509.570800000001</v>
      </c>
      <c r="E175" s="174">
        <f>441*1.04*1.05*1.05</f>
        <v>505.65060000000011</v>
      </c>
      <c r="F175" s="227"/>
      <c r="G175" s="227"/>
      <c r="H175" s="168"/>
      <c r="I175" s="194">
        <f>D175-E175+H175</f>
        <v>11003.9202</v>
      </c>
    </row>
    <row r="176" spans="1:9" ht="51" customHeight="1">
      <c r="A176" s="60" t="s">
        <v>301</v>
      </c>
      <c r="B176" s="38" t="s">
        <v>210</v>
      </c>
      <c r="C176" s="37" t="s">
        <v>366</v>
      </c>
      <c r="D176" s="166">
        <f>3100*1.04*1.05*1.05</f>
        <v>3554.4600000000005</v>
      </c>
      <c r="E176" s="166"/>
      <c r="F176" s="166">
        <v>90</v>
      </c>
      <c r="G176" s="166"/>
      <c r="H176" s="168"/>
      <c r="I176" s="184">
        <f>D176-E176+H176+F176</f>
        <v>3644.4600000000005</v>
      </c>
    </row>
    <row r="177" spans="1:9" ht="51" customHeight="1" thickBot="1">
      <c r="A177" s="62" t="s">
        <v>43</v>
      </c>
      <c r="B177" s="38" t="s">
        <v>200</v>
      </c>
      <c r="C177" s="38" t="s">
        <v>225</v>
      </c>
      <c r="D177" s="228">
        <f>5247*1.04*1.05*1.05</f>
        <v>6016.2102000000004</v>
      </c>
      <c r="E177" s="228"/>
      <c r="F177" s="228">
        <v>90</v>
      </c>
      <c r="G177" s="266"/>
      <c r="H177" s="369"/>
      <c r="I177" s="229">
        <f>D177-E177+H177+F177</f>
        <v>6106.2102000000004</v>
      </c>
    </row>
    <row r="178" spans="1:9" ht="25.5" customHeight="1" thickTop="1" thickBot="1">
      <c r="B178" s="22"/>
      <c r="C178" s="53" t="s">
        <v>6</v>
      </c>
      <c r="D178" s="168">
        <f t="shared" ref="D178:H178" si="34">SUM(D175:D177)</f>
        <v>21080.241000000002</v>
      </c>
      <c r="E178" s="168">
        <f t="shared" si="34"/>
        <v>505.65060000000011</v>
      </c>
      <c r="F178" s="168">
        <f t="shared" si="34"/>
        <v>180</v>
      </c>
      <c r="G178" s="168">
        <f t="shared" si="34"/>
        <v>0</v>
      </c>
      <c r="H178" s="168">
        <f t="shared" si="34"/>
        <v>0</v>
      </c>
      <c r="I178" s="168">
        <f>SUM(I175:I177)</f>
        <v>20754.590400000001</v>
      </c>
    </row>
    <row r="179" spans="1:9" ht="25.5" customHeight="1" thickBot="1">
      <c r="B179" s="107"/>
      <c r="C179" s="169" t="s">
        <v>206</v>
      </c>
      <c r="D179" s="170">
        <f>D178-[1]MADRE!$H$247</f>
        <v>0</v>
      </c>
      <c r="E179" s="170">
        <f>E178-[1]MADRE!$I$247</f>
        <v>0</v>
      </c>
      <c r="F179" s="170">
        <f>F178-[16]MADRE!$J$262</f>
        <v>0</v>
      </c>
      <c r="G179" s="170">
        <f>G178-[2]MADRE!K$256</f>
        <v>0</v>
      </c>
      <c r="H179" s="170">
        <f>H178-[3]MADRE!$L$244</f>
        <v>0</v>
      </c>
      <c r="I179" s="170">
        <f>I178-[3]MADRE!$M$244</f>
        <v>0</v>
      </c>
    </row>
    <row r="180" spans="1:9" ht="15" customHeight="1">
      <c r="A180" s="331" t="s">
        <v>184</v>
      </c>
      <c r="B180" s="106"/>
      <c r="C180" s="28"/>
      <c r="D180" s="28"/>
      <c r="E180" s="66"/>
      <c r="F180" s="32"/>
      <c r="G180" s="32"/>
      <c r="H180" s="385"/>
      <c r="I180" s="32"/>
    </row>
    <row r="181" spans="1:9" ht="51" customHeight="1">
      <c r="A181" s="65" t="s">
        <v>231</v>
      </c>
      <c r="B181" s="31" t="s">
        <v>201</v>
      </c>
      <c r="C181" s="31" t="s">
        <v>253</v>
      </c>
      <c r="D181" s="174">
        <f>10451*1.04*1.05*1.05</f>
        <v>11983.116600000003</v>
      </c>
      <c r="E181" s="174">
        <f>441*1.04*1.05*1.05</f>
        <v>505.65060000000011</v>
      </c>
      <c r="F181" s="174"/>
      <c r="G181" s="174"/>
      <c r="H181" s="174"/>
      <c r="I181" s="174">
        <f>D181-E181+H181</f>
        <v>11477.466000000002</v>
      </c>
    </row>
    <row r="182" spans="1:9" ht="51" customHeight="1">
      <c r="A182" s="297" t="s">
        <v>458</v>
      </c>
      <c r="B182" s="38" t="s">
        <v>201</v>
      </c>
      <c r="C182" s="38" t="s">
        <v>459</v>
      </c>
      <c r="D182" s="166">
        <f>5341.35*1.05</f>
        <v>5608.4175000000005</v>
      </c>
      <c r="E182" s="166">
        <f>154*1.05</f>
        <v>161.70000000000002</v>
      </c>
      <c r="F182" s="166"/>
      <c r="G182" s="166"/>
      <c r="H182" s="176"/>
      <c r="I182" s="166">
        <f>D182-E182+H182</f>
        <v>5446.7175000000007</v>
      </c>
    </row>
    <row r="183" spans="1:9" ht="51" customHeight="1" thickBot="1">
      <c r="A183" s="80" t="s">
        <v>47</v>
      </c>
      <c r="B183" s="43" t="s">
        <v>201</v>
      </c>
      <c r="C183" s="356" t="s">
        <v>44</v>
      </c>
      <c r="D183" s="269">
        <f>7458*1.05*1.05*1.05</f>
        <v>8633.5672500000019</v>
      </c>
      <c r="E183" s="269">
        <f>367*1.05*1.05*1.05</f>
        <v>424.84837500000009</v>
      </c>
      <c r="F183" s="269"/>
      <c r="G183" s="266">
        <v>280</v>
      </c>
      <c r="H183" s="369"/>
      <c r="I183" s="266">
        <f>D183-E183+H183+G183</f>
        <v>8488.7188750000023</v>
      </c>
    </row>
    <row r="184" spans="1:9" ht="25.5" customHeight="1" thickTop="1" thickBot="1">
      <c r="A184" s="60"/>
      <c r="B184" s="38"/>
      <c r="C184" s="158" t="s">
        <v>6</v>
      </c>
      <c r="D184" s="176">
        <f>SUM(D181:D183)</f>
        <v>26225.101350000004</v>
      </c>
      <c r="E184" s="176">
        <f t="shared" ref="E184:H184" si="35">SUM(E181:E183)</f>
        <v>1092.1989750000002</v>
      </c>
      <c r="F184" s="176">
        <f t="shared" si="35"/>
        <v>0</v>
      </c>
      <c r="G184" s="176">
        <f t="shared" si="35"/>
        <v>280</v>
      </c>
      <c r="H184" s="176">
        <f t="shared" si="35"/>
        <v>0</v>
      </c>
      <c r="I184" s="176">
        <f>SUM(I181:I183)</f>
        <v>25412.902375000005</v>
      </c>
    </row>
    <row r="185" spans="1:9" ht="25.5" customHeight="1" thickBot="1">
      <c r="A185" s="60"/>
      <c r="B185" s="107"/>
      <c r="C185" s="169" t="s">
        <v>206</v>
      </c>
      <c r="D185" s="170">
        <f>D184-[1]MADRE!$H$257</f>
        <v>0</v>
      </c>
      <c r="E185" s="170">
        <f>E184-[1]MADRE!$I$257</f>
        <v>0</v>
      </c>
      <c r="F185" s="170">
        <f>F184-[17]MADRE!$J$266</f>
        <v>0</v>
      </c>
      <c r="G185" s="170">
        <f>G184-[17]MADRE!$K$266</f>
        <v>0</v>
      </c>
      <c r="H185" s="170">
        <f>H184-[3]MADRE!$L$254</f>
        <v>0</v>
      </c>
      <c r="I185" s="170">
        <f>I184-[3]MADRE!$M$254</f>
        <v>0</v>
      </c>
    </row>
    <row r="186" spans="1:9" ht="14.25" customHeight="1">
      <c r="A186" s="330" t="s">
        <v>202</v>
      </c>
      <c r="B186" s="138"/>
      <c r="C186" s="138"/>
      <c r="D186" s="230"/>
      <c r="E186" s="230"/>
      <c r="F186" s="230"/>
      <c r="G186" s="230"/>
      <c r="H186" s="388"/>
      <c r="I186" s="230"/>
    </row>
    <row r="188" spans="1:9" s="16" customFormat="1" ht="51" customHeight="1">
      <c r="A188" s="85" t="s">
        <v>52</v>
      </c>
      <c r="B188" s="50" t="s">
        <v>201</v>
      </c>
      <c r="C188" s="50" t="s">
        <v>48</v>
      </c>
      <c r="D188" s="166">
        <f>6498*1.05*1.05*1.05</f>
        <v>7522.2472500000013</v>
      </c>
      <c r="E188" s="166">
        <f>220*1.05*1.05*1.05</f>
        <v>254.67750000000001</v>
      </c>
      <c r="F188" s="181"/>
      <c r="G188" s="178">
        <v>175</v>
      </c>
      <c r="H188" s="176"/>
      <c r="I188" s="166">
        <f>D188-E188+F188+G188+H188</f>
        <v>7442.5697500000015</v>
      </c>
    </row>
    <row r="189" spans="1:9" ht="51" customHeight="1">
      <c r="A189" s="75" t="s">
        <v>53</v>
      </c>
      <c r="B189" s="143" t="s">
        <v>201</v>
      </c>
      <c r="C189" s="50" t="s">
        <v>48</v>
      </c>
      <c r="D189" s="166">
        <f>6498*1.05*1.05*1.05</f>
        <v>7522.2472500000013</v>
      </c>
      <c r="E189" s="166">
        <f>220*1.05*1.05*1.05</f>
        <v>254.67750000000001</v>
      </c>
      <c r="F189" s="179"/>
      <c r="G189" s="178">
        <v>175</v>
      </c>
      <c r="H189" s="176"/>
      <c r="I189" s="166">
        <f>D189-E189+F189+G189+H189</f>
        <v>7442.5697500000015</v>
      </c>
    </row>
    <row r="190" spans="1:9" s="4" customFormat="1" ht="51" customHeight="1">
      <c r="A190" s="86" t="s">
        <v>297</v>
      </c>
      <c r="B190" s="38" t="s">
        <v>201</v>
      </c>
      <c r="C190" s="50" t="s">
        <v>48</v>
      </c>
      <c r="D190" s="166">
        <f>6498*1.05*1.05*1.05</f>
        <v>7522.2472500000013</v>
      </c>
      <c r="E190" s="166">
        <f>220*1.05*1.05*1.05</f>
        <v>254.67750000000001</v>
      </c>
      <c r="F190" s="166"/>
      <c r="G190" s="178">
        <v>175</v>
      </c>
      <c r="H190" s="176"/>
      <c r="I190" s="223">
        <f>D190-E190+F190+G190+H190</f>
        <v>7442.5697500000015</v>
      </c>
    </row>
    <row r="191" spans="1:9" s="4" customFormat="1" ht="51" customHeight="1">
      <c r="A191" s="86" t="s">
        <v>394</v>
      </c>
      <c r="B191" s="38" t="s">
        <v>201</v>
      </c>
      <c r="C191" s="50" t="s">
        <v>48</v>
      </c>
      <c r="D191" s="166">
        <f>6498*1.05*1.05*1.05</f>
        <v>7522.2472500000013</v>
      </c>
      <c r="E191" s="166">
        <f>220*1.05*1.05*1.05</f>
        <v>254.67750000000001</v>
      </c>
      <c r="F191" s="166"/>
      <c r="G191" s="166">
        <v>175</v>
      </c>
      <c r="H191" s="368"/>
      <c r="I191" s="182">
        <f>D191-E191+F191+G191+H191</f>
        <v>7442.5697500000015</v>
      </c>
    </row>
    <row r="192" spans="1:9" s="16" customFormat="1" ht="51" customHeight="1" thickBot="1">
      <c r="A192" s="60" t="s">
        <v>241</v>
      </c>
      <c r="B192" s="38" t="s">
        <v>201</v>
      </c>
      <c r="C192" s="38" t="s">
        <v>48</v>
      </c>
      <c r="D192" s="166">
        <f>6498*1.05*1.05*1.05</f>
        <v>7522.2472500000013</v>
      </c>
      <c r="E192" s="166">
        <f>220*1.05*1.05*1.05</f>
        <v>254.67750000000001</v>
      </c>
      <c r="F192" s="166"/>
      <c r="G192" s="166">
        <v>175</v>
      </c>
      <c r="H192" s="176"/>
      <c r="I192" s="166">
        <f>D192-E192+F192+G192+H192</f>
        <v>7442.5697500000015</v>
      </c>
    </row>
    <row r="193" spans="1:9" ht="25.5" customHeight="1" thickTop="1" thickBot="1">
      <c r="A193" s="60"/>
      <c r="B193" s="38"/>
      <c r="C193" s="158" t="s">
        <v>6</v>
      </c>
      <c r="D193" s="175">
        <f>SUM(D187:D192)</f>
        <v>37611.236250000009</v>
      </c>
      <c r="E193" s="175">
        <f t="shared" ref="E193:H193" si="36">SUM(E187:E192)</f>
        <v>1273.3875</v>
      </c>
      <c r="F193" s="175">
        <f>SUM(F187:F192)</f>
        <v>0</v>
      </c>
      <c r="G193" s="175">
        <f t="shared" si="36"/>
        <v>875</v>
      </c>
      <c r="H193" s="175">
        <f t="shared" si="36"/>
        <v>0</v>
      </c>
      <c r="I193" s="175">
        <f>SUM(I187:I192)</f>
        <v>37212.848750000005</v>
      </c>
    </row>
    <row r="194" spans="1:9" ht="25.5" customHeight="1" thickBot="1">
      <c r="A194" s="60"/>
      <c r="B194" s="107"/>
      <c r="C194" s="169" t="s">
        <v>206</v>
      </c>
      <c r="D194" s="170">
        <f>D193-[19]MADRE!$H$263</f>
        <v>0</v>
      </c>
      <c r="E194" s="170">
        <f>E193-[19]MADRE!$I$263</f>
        <v>0</v>
      </c>
      <c r="F194" s="170">
        <f>F193-[17]MADRE!$J$275</f>
        <v>0</v>
      </c>
      <c r="G194" s="170">
        <f>G193-[19]MADRE!$K$263</f>
        <v>0</v>
      </c>
      <c r="H194" s="170">
        <f>H193-[3]MADRE!$L$261</f>
        <v>0</v>
      </c>
      <c r="I194" s="170">
        <v>0</v>
      </c>
    </row>
    <row r="195" spans="1:9" ht="14.25" customHeight="1">
      <c r="A195" s="332" t="s">
        <v>203</v>
      </c>
      <c r="B195" s="147"/>
      <c r="C195" s="231"/>
      <c r="D195" s="232"/>
      <c r="E195" s="232"/>
      <c r="F195" s="232"/>
      <c r="G195" s="232"/>
      <c r="H195" s="176"/>
      <c r="I195" s="232"/>
    </row>
    <row r="196" spans="1:9" ht="51" customHeight="1">
      <c r="A196" s="60" t="s">
        <v>49</v>
      </c>
      <c r="B196" s="38" t="s">
        <v>201</v>
      </c>
      <c r="C196" s="38" t="s">
        <v>51</v>
      </c>
      <c r="D196" s="166">
        <f>6720.84*1.05</f>
        <v>7056.8820000000005</v>
      </c>
      <c r="E196" s="166">
        <f>201.76*1.05</f>
        <v>211.84800000000001</v>
      </c>
      <c r="F196" s="166"/>
      <c r="G196" s="166">
        <v>153</v>
      </c>
      <c r="H196" s="176"/>
      <c r="I196" s="166">
        <f>D196-E196+G196+H196</f>
        <v>6998.0340000000006</v>
      </c>
    </row>
    <row r="197" spans="1:9" ht="51" customHeight="1">
      <c r="A197" s="91" t="s">
        <v>228</v>
      </c>
      <c r="B197" s="51" t="s">
        <v>201</v>
      </c>
      <c r="C197" s="51" t="s">
        <v>51</v>
      </c>
      <c r="D197" s="166">
        <f>6096*1.05*1.05*1.05</f>
        <v>7056.8820000000005</v>
      </c>
      <c r="E197" s="166">
        <f>183*1.05*1.05*1.05</f>
        <v>211.84537500000002</v>
      </c>
      <c r="F197" s="234"/>
      <c r="G197" s="200">
        <v>153</v>
      </c>
      <c r="H197" s="176"/>
      <c r="I197" s="166">
        <f t="shared" ref="I197:I204" si="37">D197-E197+G197+H197</f>
        <v>6998.0366250000006</v>
      </c>
    </row>
    <row r="198" spans="1:9" ht="51" customHeight="1">
      <c r="A198" s="85" t="s">
        <v>54</v>
      </c>
      <c r="B198" s="50" t="s">
        <v>201</v>
      </c>
      <c r="C198" s="50" t="s">
        <v>51</v>
      </c>
      <c r="D198" s="166">
        <f>6096*1.05*1.05*1.05</f>
        <v>7056.8820000000005</v>
      </c>
      <c r="E198" s="166">
        <f>183*1.05*1.05*1.05</f>
        <v>211.84537500000002</v>
      </c>
      <c r="F198" s="181"/>
      <c r="G198" s="178">
        <v>153</v>
      </c>
      <c r="H198" s="176"/>
      <c r="I198" s="166">
        <f t="shared" si="37"/>
        <v>6998.0366250000006</v>
      </c>
    </row>
    <row r="199" spans="1:9" s="16" customFormat="1" ht="51" customHeight="1">
      <c r="A199" s="60" t="s">
        <v>50</v>
      </c>
      <c r="B199" s="22" t="s">
        <v>201</v>
      </c>
      <c r="C199" s="38" t="s">
        <v>51</v>
      </c>
      <c r="D199" s="166">
        <f>6822.9*1.05*1.05</f>
        <v>7522.2472500000003</v>
      </c>
      <c r="E199" s="166">
        <f>231*1.05*1.05</f>
        <v>254.67750000000001</v>
      </c>
      <c r="F199" s="166"/>
      <c r="G199" s="166">
        <v>175</v>
      </c>
      <c r="H199" s="176"/>
      <c r="I199" s="166">
        <f t="shared" si="37"/>
        <v>7442.5697500000006</v>
      </c>
    </row>
    <row r="200" spans="1:9" ht="51" customHeight="1">
      <c r="A200" s="86" t="s">
        <v>273</v>
      </c>
      <c r="B200" s="22" t="s">
        <v>201</v>
      </c>
      <c r="C200" s="38" t="s">
        <v>51</v>
      </c>
      <c r="D200" s="166">
        <f>6400.8*1.05*1.05</f>
        <v>7056.8820000000005</v>
      </c>
      <c r="E200" s="166">
        <f>201.76*1.05</f>
        <v>211.84800000000001</v>
      </c>
      <c r="F200" s="235"/>
      <c r="G200" s="166">
        <v>153</v>
      </c>
      <c r="H200" s="176"/>
      <c r="I200" s="166">
        <f t="shared" si="37"/>
        <v>6998.0340000000006</v>
      </c>
    </row>
    <row r="201" spans="1:9" s="4" customFormat="1" ht="51" customHeight="1">
      <c r="A201" s="86" t="s">
        <v>418</v>
      </c>
      <c r="B201" s="38" t="s">
        <v>201</v>
      </c>
      <c r="C201" s="38" t="s">
        <v>51</v>
      </c>
      <c r="D201" s="166">
        <f>6400.8*1.05*1.05</f>
        <v>7056.8820000000005</v>
      </c>
      <c r="E201" s="166">
        <f>201.76*1.05</f>
        <v>211.84800000000001</v>
      </c>
      <c r="F201" s="166"/>
      <c r="G201" s="166">
        <v>153</v>
      </c>
      <c r="H201" s="176"/>
      <c r="I201" s="166">
        <f t="shared" si="37"/>
        <v>6998.0340000000006</v>
      </c>
    </row>
    <row r="202" spans="1:9" s="4" customFormat="1" ht="51" customHeight="1">
      <c r="A202" s="86" t="s">
        <v>446</v>
      </c>
      <c r="B202" s="38" t="s">
        <v>201</v>
      </c>
      <c r="C202" s="38" t="s">
        <v>51</v>
      </c>
      <c r="D202" s="166">
        <f>6400.8*1.05*1.05</f>
        <v>7056.8820000000005</v>
      </c>
      <c r="E202" s="166">
        <f>201.76*1.05</f>
        <v>211.84800000000001</v>
      </c>
      <c r="F202" s="166"/>
      <c r="G202" s="166">
        <v>153</v>
      </c>
      <c r="H202" s="176"/>
      <c r="I202" s="166">
        <f t="shared" si="37"/>
        <v>6998.0340000000006</v>
      </c>
    </row>
    <row r="203" spans="1:9" ht="51" customHeight="1">
      <c r="A203" s="86" t="s">
        <v>334</v>
      </c>
      <c r="B203" s="22" t="s">
        <v>201</v>
      </c>
      <c r="C203" s="38" t="s">
        <v>51</v>
      </c>
      <c r="D203" s="166">
        <f>6400.8*1.05*1.05</f>
        <v>7056.8820000000005</v>
      </c>
      <c r="E203" s="166">
        <f>201.76*1.05</f>
        <v>211.84800000000001</v>
      </c>
      <c r="F203" s="235"/>
      <c r="G203" s="166">
        <v>153</v>
      </c>
      <c r="H203" s="176"/>
      <c r="I203" s="166">
        <f t="shared" si="37"/>
        <v>6998.0340000000006</v>
      </c>
    </row>
    <row r="204" spans="1:9" ht="51" customHeight="1" thickBot="1">
      <c r="A204" s="70" t="s">
        <v>58</v>
      </c>
      <c r="B204" s="35" t="s">
        <v>201</v>
      </c>
      <c r="C204" s="52" t="s">
        <v>51</v>
      </c>
      <c r="D204" s="166">
        <f>6720.84*1.05*1.05</f>
        <v>7409.7261000000008</v>
      </c>
      <c r="E204" s="166">
        <f>183*1.05*1.05*1.05</f>
        <v>211.84537500000002</v>
      </c>
      <c r="F204" s="166"/>
      <c r="G204" s="166">
        <v>157</v>
      </c>
      <c r="H204" s="176"/>
      <c r="I204" s="166">
        <f t="shared" si="37"/>
        <v>7354.8807250000009</v>
      </c>
    </row>
    <row r="205" spans="1:9" ht="25.5" customHeight="1" thickTop="1" thickBot="1">
      <c r="A205" s="62"/>
      <c r="B205" s="38"/>
      <c r="C205" s="158" t="s">
        <v>6</v>
      </c>
      <c r="D205" s="175">
        <f>SUM(D196:D204)</f>
        <v>64330.147349999992</v>
      </c>
      <c r="E205" s="175">
        <f t="shared" ref="E205:H205" si="38">SUM(E196:E204)</f>
        <v>1949.4536250000001</v>
      </c>
      <c r="F205" s="175">
        <f t="shared" si="38"/>
        <v>0</v>
      </c>
      <c r="G205" s="175">
        <f t="shared" si="38"/>
        <v>1403</v>
      </c>
      <c r="H205" s="175">
        <f t="shared" si="38"/>
        <v>0</v>
      </c>
      <c r="I205" s="175">
        <f>SUM(I196:I204)</f>
        <v>63783.693725000005</v>
      </c>
    </row>
    <row r="206" spans="1:9" ht="25.5" customHeight="1" thickBot="1">
      <c r="A206" s="62"/>
      <c r="B206" s="107"/>
      <c r="C206" s="169" t="s">
        <v>206</v>
      </c>
      <c r="D206" s="170">
        <f>D205-[4]MADRE!$H$276</f>
        <v>0</v>
      </c>
      <c r="E206" s="170">
        <v>0</v>
      </c>
      <c r="F206" s="170">
        <f>F205-[22]MADRE!$J$283</f>
        <v>0</v>
      </c>
      <c r="G206" s="170">
        <f>G205-[4]MADRE!$K$276</f>
        <v>0</v>
      </c>
      <c r="H206" s="170">
        <f>H205-[3]MADRE!$L$273</f>
        <v>0</v>
      </c>
      <c r="I206" s="170">
        <v>0</v>
      </c>
    </row>
    <row r="207" spans="1:9" ht="14.25" customHeight="1">
      <c r="A207" s="90" t="s">
        <v>204</v>
      </c>
      <c r="B207" s="147"/>
      <c r="C207" s="231"/>
      <c r="D207" s="232"/>
      <c r="E207" s="232"/>
      <c r="F207" s="232"/>
      <c r="G207" s="232"/>
      <c r="H207" s="176"/>
      <c r="I207" s="232"/>
    </row>
    <row r="208" spans="1:9" ht="51" customHeight="1">
      <c r="A208" s="70" t="s">
        <v>56</v>
      </c>
      <c r="B208" s="49" t="s">
        <v>201</v>
      </c>
      <c r="C208" s="141" t="s">
        <v>55</v>
      </c>
      <c r="D208" s="166">
        <f>5545*1.05*1.05*1.05</f>
        <v>6419.0306250000003</v>
      </c>
      <c r="E208" s="166">
        <f>99*1.05*1.05*1.05</f>
        <v>114.60487500000001</v>
      </c>
      <c r="F208" s="178"/>
      <c r="G208" s="178">
        <v>126</v>
      </c>
      <c r="H208" s="368"/>
      <c r="I208" s="182">
        <f>D208-E208+F208+G208+H208</f>
        <v>6430.4257500000003</v>
      </c>
    </row>
    <row r="209" spans="1:9" ht="51" customHeight="1">
      <c r="A209" s="60" t="s">
        <v>358</v>
      </c>
      <c r="B209" s="38" t="s">
        <v>201</v>
      </c>
      <c r="C209" s="38" t="s">
        <v>55</v>
      </c>
      <c r="D209" s="166">
        <f>5545*1.05*1.05*1.05</f>
        <v>6419.0306250000003</v>
      </c>
      <c r="E209" s="166">
        <f t="shared" ref="E209:E221" si="39">99*1.05*1.05*1.05</f>
        <v>114.60487500000001</v>
      </c>
      <c r="F209" s="166"/>
      <c r="G209" s="166">
        <v>126</v>
      </c>
      <c r="H209" s="368"/>
      <c r="I209" s="182">
        <f>D209-E209+F209+G209+H209</f>
        <v>6430.4257500000003</v>
      </c>
    </row>
    <row r="210" spans="1:9" s="4" customFormat="1" ht="51" customHeight="1">
      <c r="A210" s="86" t="s">
        <v>404</v>
      </c>
      <c r="B210" s="38" t="s">
        <v>201</v>
      </c>
      <c r="C210" s="22" t="s">
        <v>55</v>
      </c>
      <c r="D210" s="166">
        <f t="shared" ref="D210:D221" si="40">5822.25*1.05*1.05</f>
        <v>6419.0306250000003</v>
      </c>
      <c r="E210" s="166">
        <f t="shared" si="39"/>
        <v>114.60487500000001</v>
      </c>
      <c r="F210" s="166"/>
      <c r="G210" s="166">
        <v>126</v>
      </c>
      <c r="H210" s="368"/>
      <c r="I210" s="182">
        <f t="shared" ref="I210:I221" si="41">D210-E210+F210+G210+H210</f>
        <v>6430.4257500000003</v>
      </c>
    </row>
    <row r="211" spans="1:9" s="4" customFormat="1" ht="51" customHeight="1">
      <c r="A211" s="86" t="s">
        <v>389</v>
      </c>
      <c r="B211" s="38" t="s">
        <v>201</v>
      </c>
      <c r="C211" s="22" t="s">
        <v>55</v>
      </c>
      <c r="D211" s="166">
        <f t="shared" si="40"/>
        <v>6419.0306250000003</v>
      </c>
      <c r="E211" s="166">
        <f t="shared" si="39"/>
        <v>114.60487500000001</v>
      </c>
      <c r="F211" s="166"/>
      <c r="G211" s="166">
        <v>126</v>
      </c>
      <c r="H211" s="368"/>
      <c r="I211" s="182">
        <f t="shared" si="41"/>
        <v>6430.4257500000003</v>
      </c>
    </row>
    <row r="212" spans="1:9" s="4" customFormat="1" ht="51" customHeight="1">
      <c r="A212" s="86" t="s">
        <v>390</v>
      </c>
      <c r="B212" s="38" t="s">
        <v>201</v>
      </c>
      <c r="C212" s="22" t="s">
        <v>55</v>
      </c>
      <c r="D212" s="166">
        <f t="shared" si="40"/>
        <v>6419.0306250000003</v>
      </c>
      <c r="E212" s="166">
        <f t="shared" si="39"/>
        <v>114.60487500000001</v>
      </c>
      <c r="F212" s="166"/>
      <c r="G212" s="166">
        <v>126</v>
      </c>
      <c r="H212" s="368"/>
      <c r="I212" s="182">
        <f t="shared" si="41"/>
        <v>6430.4257500000003</v>
      </c>
    </row>
    <row r="213" spans="1:9" s="4" customFormat="1" ht="51" customHeight="1">
      <c r="A213" s="86" t="s">
        <v>396</v>
      </c>
      <c r="B213" s="38" t="s">
        <v>201</v>
      </c>
      <c r="C213" s="22" t="s">
        <v>55</v>
      </c>
      <c r="D213" s="166">
        <f t="shared" si="40"/>
        <v>6419.0306250000003</v>
      </c>
      <c r="E213" s="166">
        <f t="shared" si="39"/>
        <v>114.60487500000001</v>
      </c>
      <c r="F213" s="166"/>
      <c r="G213" s="166">
        <v>126</v>
      </c>
      <c r="H213" s="368"/>
      <c r="I213" s="182">
        <f t="shared" si="41"/>
        <v>6430.4257500000003</v>
      </c>
    </row>
    <row r="214" spans="1:9" s="4" customFormat="1" ht="51" customHeight="1">
      <c r="A214" s="86" t="s">
        <v>448</v>
      </c>
      <c r="B214" s="38" t="s">
        <v>201</v>
      </c>
      <c r="C214" s="22" t="s">
        <v>55</v>
      </c>
      <c r="D214" s="166">
        <f t="shared" si="40"/>
        <v>6419.0306250000003</v>
      </c>
      <c r="E214" s="166">
        <f t="shared" si="39"/>
        <v>114.60487500000001</v>
      </c>
      <c r="F214" s="166"/>
      <c r="G214" s="166">
        <v>126</v>
      </c>
      <c r="H214" s="368"/>
      <c r="I214" s="182">
        <f t="shared" si="41"/>
        <v>6430.4257500000003</v>
      </c>
    </row>
    <row r="215" spans="1:9" s="4" customFormat="1" ht="51" customHeight="1">
      <c r="A215" s="86" t="s">
        <v>419</v>
      </c>
      <c r="B215" s="38" t="s">
        <v>201</v>
      </c>
      <c r="C215" s="22" t="s">
        <v>55</v>
      </c>
      <c r="D215" s="166">
        <f t="shared" si="40"/>
        <v>6419.0306250000003</v>
      </c>
      <c r="E215" s="166">
        <f t="shared" si="39"/>
        <v>114.60487500000001</v>
      </c>
      <c r="F215" s="166"/>
      <c r="G215" s="166">
        <v>126</v>
      </c>
      <c r="H215" s="368"/>
      <c r="I215" s="182">
        <f t="shared" si="41"/>
        <v>6430.4257500000003</v>
      </c>
    </row>
    <row r="216" spans="1:9" s="4" customFormat="1" ht="51" customHeight="1">
      <c r="A216" s="86" t="s">
        <v>462</v>
      </c>
      <c r="B216" s="38" t="s">
        <v>201</v>
      </c>
      <c r="C216" s="22" t="s">
        <v>55</v>
      </c>
      <c r="D216" s="166">
        <f t="shared" si="40"/>
        <v>6419.0306250000003</v>
      </c>
      <c r="E216" s="166">
        <f t="shared" si="39"/>
        <v>114.60487500000001</v>
      </c>
      <c r="F216" s="166"/>
      <c r="G216" s="166">
        <v>126</v>
      </c>
      <c r="H216" s="368"/>
      <c r="I216" s="182">
        <f t="shared" si="41"/>
        <v>6430.4257500000003</v>
      </c>
    </row>
    <row r="217" spans="1:9" s="4" customFormat="1" ht="51" customHeight="1">
      <c r="A217" s="86" t="s">
        <v>461</v>
      </c>
      <c r="B217" s="38" t="s">
        <v>201</v>
      </c>
      <c r="C217" s="22" t="s">
        <v>55</v>
      </c>
      <c r="D217" s="166">
        <f t="shared" si="40"/>
        <v>6419.0306250000003</v>
      </c>
      <c r="E217" s="166">
        <f t="shared" si="39"/>
        <v>114.60487500000001</v>
      </c>
      <c r="F217" s="166"/>
      <c r="G217" s="166">
        <v>126</v>
      </c>
      <c r="H217" s="368"/>
      <c r="I217" s="182">
        <f t="shared" si="41"/>
        <v>6430.4257500000003</v>
      </c>
    </row>
    <row r="218" spans="1:9" s="4" customFormat="1" ht="51" customHeight="1">
      <c r="A218" s="86" t="s">
        <v>432</v>
      </c>
      <c r="B218" s="38" t="s">
        <v>201</v>
      </c>
      <c r="C218" s="22" t="s">
        <v>55</v>
      </c>
      <c r="D218" s="166">
        <f t="shared" si="40"/>
        <v>6419.0306250000003</v>
      </c>
      <c r="E218" s="166">
        <f t="shared" si="39"/>
        <v>114.60487500000001</v>
      </c>
      <c r="F218" s="166"/>
      <c r="G218" s="166">
        <v>126</v>
      </c>
      <c r="H218" s="368"/>
      <c r="I218" s="182">
        <f t="shared" si="41"/>
        <v>6430.4257500000003</v>
      </c>
    </row>
    <row r="219" spans="1:9" s="4" customFormat="1" ht="51" customHeight="1">
      <c r="A219" s="86" t="s">
        <v>442</v>
      </c>
      <c r="B219" s="38" t="s">
        <v>201</v>
      </c>
      <c r="C219" s="22" t="s">
        <v>55</v>
      </c>
      <c r="D219" s="166">
        <f t="shared" si="40"/>
        <v>6419.0306250000003</v>
      </c>
      <c r="E219" s="166">
        <f t="shared" si="39"/>
        <v>114.60487500000001</v>
      </c>
      <c r="F219" s="166"/>
      <c r="G219" s="166">
        <v>126</v>
      </c>
      <c r="H219" s="368"/>
      <c r="I219" s="182">
        <f t="shared" si="41"/>
        <v>6430.4257500000003</v>
      </c>
    </row>
    <row r="220" spans="1:9" s="4" customFormat="1" ht="51" customHeight="1">
      <c r="A220" s="377" t="s">
        <v>484</v>
      </c>
      <c r="B220" s="38" t="s">
        <v>201</v>
      </c>
      <c r="C220" s="22" t="s">
        <v>55</v>
      </c>
      <c r="D220" s="166">
        <f t="shared" si="40"/>
        <v>6419.0306250000003</v>
      </c>
      <c r="E220" s="166">
        <f t="shared" si="39"/>
        <v>114.60487500000001</v>
      </c>
      <c r="F220" s="166"/>
      <c r="G220" s="166">
        <v>126</v>
      </c>
      <c r="H220" s="368"/>
      <c r="I220" s="182">
        <f t="shared" si="41"/>
        <v>6430.4257500000003</v>
      </c>
    </row>
    <row r="221" spans="1:9" s="4" customFormat="1" ht="51" customHeight="1" thickBot="1">
      <c r="A221" s="86" t="s">
        <v>303</v>
      </c>
      <c r="B221" s="38" t="s">
        <v>201</v>
      </c>
      <c r="C221" s="22" t="s">
        <v>55</v>
      </c>
      <c r="D221" s="269">
        <f t="shared" si="40"/>
        <v>6419.0306250000003</v>
      </c>
      <c r="E221" s="269">
        <f t="shared" si="39"/>
        <v>114.60487500000001</v>
      </c>
      <c r="F221" s="269"/>
      <c r="G221" s="266">
        <v>126</v>
      </c>
      <c r="H221" s="372"/>
      <c r="I221" s="379">
        <f t="shared" si="41"/>
        <v>6430.4257500000003</v>
      </c>
    </row>
    <row r="222" spans="1:9" ht="25.5" customHeight="1" thickTop="1">
      <c r="A222" s="257"/>
      <c r="B222" s="22"/>
      <c r="C222" s="158" t="s">
        <v>6</v>
      </c>
      <c r="D222" s="241">
        <f t="shared" ref="D222:I222" si="42">SUM(D208:D221)</f>
        <v>89866.428750000006</v>
      </c>
      <c r="E222" s="241">
        <f t="shared" si="42"/>
        <v>1604.4682500000001</v>
      </c>
      <c r="F222" s="241">
        <f t="shared" si="42"/>
        <v>0</v>
      </c>
      <c r="G222" s="241">
        <f t="shared" si="42"/>
        <v>1764</v>
      </c>
      <c r="H222" s="241">
        <f t="shared" si="42"/>
        <v>0</v>
      </c>
      <c r="I222" s="241">
        <f t="shared" si="42"/>
        <v>90025.960500000001</v>
      </c>
    </row>
    <row r="223" spans="1:9" ht="25.5" customHeight="1">
      <c r="A223" s="92"/>
      <c r="B223" s="34"/>
      <c r="C223" s="289" t="s">
        <v>206</v>
      </c>
      <c r="D223" s="290">
        <f>D222-[19]MADRE!$H$293</f>
        <v>0</v>
      </c>
      <c r="E223" s="290">
        <f>E222-[19]MADRE!$I$293</f>
        <v>0</v>
      </c>
      <c r="F223" s="290">
        <f>SUM(F208:F221)</f>
        <v>0</v>
      </c>
      <c r="G223" s="290">
        <f>G222-[19]MADRE!$K$293</f>
        <v>0</v>
      </c>
      <c r="H223" s="290">
        <f>H222-[3]MADRE!$L$293</f>
        <v>0</v>
      </c>
      <c r="I223" s="290">
        <f>I222-[19]MADRE!$M$293</f>
        <v>0</v>
      </c>
    </row>
    <row r="224" spans="1:9" ht="15" customHeight="1">
      <c r="A224" s="55" t="s">
        <v>178</v>
      </c>
      <c r="B224" s="110"/>
      <c r="C224" s="32"/>
      <c r="D224" s="32"/>
      <c r="E224" s="32"/>
      <c r="F224" s="32"/>
      <c r="G224" s="32"/>
      <c r="H224" s="385"/>
      <c r="I224" s="32"/>
    </row>
    <row r="225" spans="1:9" ht="47.25" customHeight="1">
      <c r="A225" s="62" t="s">
        <v>271</v>
      </c>
      <c r="B225" s="22" t="s">
        <v>200</v>
      </c>
      <c r="C225" s="23" t="s">
        <v>272</v>
      </c>
      <c r="D225" s="166">
        <f>7408*1.04*1.05*1.05</f>
        <v>8494.0128000000022</v>
      </c>
      <c r="E225" s="166">
        <f>336*1.04*1.05*1.05</f>
        <v>385.25760000000002</v>
      </c>
      <c r="F225" s="166"/>
      <c r="G225" s="166"/>
      <c r="H225" s="368"/>
      <c r="I225" s="180">
        <f>D225-E225+F225+H225</f>
        <v>8108.7552000000023</v>
      </c>
    </row>
    <row r="226" spans="1:9" ht="47.25" customHeight="1">
      <c r="A226" s="62" t="s">
        <v>435</v>
      </c>
      <c r="B226" s="22" t="s">
        <v>210</v>
      </c>
      <c r="C226" s="23" t="s">
        <v>272</v>
      </c>
      <c r="D226" s="166">
        <f>6690*1.05</f>
        <v>7024.5</v>
      </c>
      <c r="E226" s="166">
        <f>190*1.05</f>
        <v>199.5</v>
      </c>
      <c r="F226" s="166"/>
      <c r="G226" s="166"/>
      <c r="H226" s="368"/>
      <c r="I226" s="180">
        <f>D226-E226+F226+H226</f>
        <v>6825</v>
      </c>
    </row>
    <row r="227" spans="1:9" s="4" customFormat="1" ht="51" customHeight="1" thickBot="1">
      <c r="A227" s="75" t="s">
        <v>121</v>
      </c>
      <c r="B227" s="35" t="s">
        <v>200</v>
      </c>
      <c r="C227" s="313" t="s">
        <v>431</v>
      </c>
      <c r="D227" s="166">
        <f>7215*1.05*1.05*1.05</f>
        <v>8352.2643750000007</v>
      </c>
      <c r="E227" s="166">
        <f>220*1.05*1.05*1.05</f>
        <v>254.67750000000001</v>
      </c>
      <c r="F227" s="178"/>
      <c r="G227" s="178"/>
      <c r="H227" s="368"/>
      <c r="I227" s="166">
        <f>D227-E227+F227+H227</f>
        <v>8097.5868750000009</v>
      </c>
    </row>
    <row r="228" spans="1:9" ht="23.25" customHeight="1" thickTop="1" thickBot="1">
      <c r="A228" s="87"/>
      <c r="B228" s="22"/>
      <c r="C228" s="53" t="s">
        <v>6</v>
      </c>
      <c r="D228" s="175">
        <f>SUM(D225:D227)</f>
        <v>23870.777175000003</v>
      </c>
      <c r="E228" s="175">
        <f>SUM(E225:E227)</f>
        <v>839.43510000000003</v>
      </c>
      <c r="F228" s="175">
        <f>SUM(F225:F225)</f>
        <v>0</v>
      </c>
      <c r="G228" s="175">
        <f>SUM(G225:G225)</f>
        <v>0</v>
      </c>
      <c r="H228" s="175">
        <f>SUM(H225:H225)</f>
        <v>0</v>
      </c>
      <c r="I228" s="175">
        <f>SUM(I225:I227)</f>
        <v>23031.342075000004</v>
      </c>
    </row>
    <row r="229" spans="1:9" ht="28.5" customHeight="1" thickBot="1">
      <c r="A229" s="87"/>
      <c r="B229" s="107"/>
      <c r="C229" s="169" t="s">
        <v>206</v>
      </c>
      <c r="D229" s="170">
        <f>D228-[1]MADRE!$H$302</f>
        <v>0</v>
      </c>
      <c r="E229" s="170">
        <f>E228-[1]MADRE!$I$302</f>
        <v>0</v>
      </c>
      <c r="F229" s="170">
        <f>F228-[2]MADRE!J$306</f>
        <v>0</v>
      </c>
      <c r="G229" s="170">
        <f>G228-[2]MADRE!K$306</f>
        <v>0</v>
      </c>
      <c r="H229" s="170">
        <f>H228-[3]MADRE!$L$302</f>
        <v>0</v>
      </c>
      <c r="I229" s="170">
        <f>I228-[3]MADRE!$M$302</f>
        <v>0</v>
      </c>
    </row>
    <row r="230" spans="1:9" ht="15.75" customHeight="1">
      <c r="A230" s="55" t="s">
        <v>259</v>
      </c>
      <c r="B230" s="48"/>
      <c r="C230" s="237"/>
      <c r="D230" s="233"/>
      <c r="E230" s="233"/>
      <c r="F230" s="233"/>
      <c r="G230" s="233"/>
      <c r="H230" s="166"/>
      <c r="I230" s="233"/>
    </row>
    <row r="231" spans="1:9" ht="24" customHeight="1" thickBot="1">
      <c r="A231" s="60"/>
      <c r="B231" s="38"/>
      <c r="C231" s="38"/>
      <c r="D231" s="166"/>
      <c r="E231" s="166"/>
      <c r="F231" s="166"/>
      <c r="G231" s="166"/>
      <c r="H231" s="176"/>
      <c r="I231" s="166">
        <f>D231-E231+F231</f>
        <v>0</v>
      </c>
    </row>
    <row r="232" spans="1:9" ht="25.5" customHeight="1" thickTop="1" thickBot="1">
      <c r="A232" s="87"/>
      <c r="B232" s="22"/>
      <c r="C232" s="53" t="s">
        <v>6</v>
      </c>
      <c r="D232" s="175">
        <f t="shared" ref="D232:I232" si="43">SUM(D231:D231)</f>
        <v>0</v>
      </c>
      <c r="E232" s="175">
        <f t="shared" si="43"/>
        <v>0</v>
      </c>
      <c r="F232" s="175">
        <f>SUM(F231:F231)</f>
        <v>0</v>
      </c>
      <c r="G232" s="175">
        <f>SUM(G231:G231)</f>
        <v>0</v>
      </c>
      <c r="H232" s="175">
        <f>SUM(H231:H231)</f>
        <v>0</v>
      </c>
      <c r="I232" s="175">
        <f t="shared" si="43"/>
        <v>0</v>
      </c>
    </row>
    <row r="233" spans="1:9" ht="25.5" customHeight="1" thickBot="1">
      <c r="A233" s="87"/>
      <c r="B233" s="107"/>
      <c r="C233" s="169" t="s">
        <v>206</v>
      </c>
      <c r="D233" s="170">
        <f>D232-[16]MADRE!$H$320</f>
        <v>0</v>
      </c>
      <c r="E233" s="170">
        <f>E232-[2]MADRE!I$313</f>
        <v>0</v>
      </c>
      <c r="F233" s="170">
        <f>F232-[16]MADRE!$J$320</f>
        <v>0</v>
      </c>
      <c r="G233" s="170">
        <f>G232-[2]MADRE!K$313</f>
        <v>0</v>
      </c>
      <c r="H233" s="170">
        <f>H232-[2]MADRE!L$313</f>
        <v>0</v>
      </c>
      <c r="I233" s="170">
        <f>I232-[16]MADRE!$M$320</f>
        <v>0</v>
      </c>
    </row>
    <row r="234" spans="1:9" ht="15" customHeight="1">
      <c r="A234" s="25" t="s">
        <v>185</v>
      </c>
      <c r="B234" s="106"/>
      <c r="C234" s="28"/>
      <c r="D234" s="28"/>
      <c r="E234" s="28"/>
      <c r="F234" s="28"/>
      <c r="G234" s="28"/>
      <c r="H234" s="364"/>
      <c r="I234" s="28"/>
    </row>
    <row r="235" spans="1:9" ht="51" customHeight="1">
      <c r="A235" s="305" t="s">
        <v>76</v>
      </c>
      <c r="B235" s="303" t="s">
        <v>200</v>
      </c>
      <c r="C235" s="306" t="s">
        <v>421</v>
      </c>
      <c r="D235" s="304">
        <f>7028.8*1.05*1.05</f>
        <v>7749.2520000000013</v>
      </c>
      <c r="E235" s="304">
        <f>220*1.04*1.05*1.05</f>
        <v>252.25200000000001</v>
      </c>
      <c r="F235" s="304"/>
      <c r="G235" s="304"/>
      <c r="H235" s="389"/>
      <c r="I235" s="304">
        <f>D235-E235+H235</f>
        <v>7497.0000000000009</v>
      </c>
    </row>
    <row r="236" spans="1:9" ht="51" customHeight="1">
      <c r="A236" s="314" t="s">
        <v>336</v>
      </c>
      <c r="B236" s="315" t="s">
        <v>200</v>
      </c>
      <c r="C236" s="316" t="s">
        <v>450</v>
      </c>
      <c r="D236" s="304">
        <f>10038*1.04*1.05*1.05</f>
        <v>11509.570800000001</v>
      </c>
      <c r="E236" s="304">
        <f>441*1.04*1.05*1.05</f>
        <v>505.65060000000011</v>
      </c>
      <c r="F236" s="390"/>
      <c r="G236" s="390"/>
      <c r="H236" s="389"/>
      <c r="I236" s="304">
        <f>D236-E236+H236</f>
        <v>11003.9202</v>
      </c>
    </row>
    <row r="237" spans="1:9" ht="51" customHeight="1">
      <c r="A237" s="86" t="s">
        <v>62</v>
      </c>
      <c r="B237" s="143" t="s">
        <v>305</v>
      </c>
      <c r="C237" s="148" t="s">
        <v>335</v>
      </c>
      <c r="D237" s="166">
        <f>5800*1.04*1.05*1.05</f>
        <v>6650.2800000000007</v>
      </c>
      <c r="E237" s="166">
        <f>175*1.04*1.05*1.05</f>
        <v>200.655</v>
      </c>
      <c r="F237" s="179"/>
      <c r="G237" s="179"/>
      <c r="H237" s="176"/>
      <c r="I237" s="166">
        <f t="shared" ref="I237:I244" si="44">D237-E237+F237+H237</f>
        <v>6449.6250000000009</v>
      </c>
    </row>
    <row r="238" spans="1:9" s="16" customFormat="1" ht="51" customHeight="1">
      <c r="A238" s="86" t="s">
        <v>298</v>
      </c>
      <c r="B238" s="143" t="s">
        <v>200</v>
      </c>
      <c r="C238" s="148" t="s">
        <v>299</v>
      </c>
      <c r="D238" s="166">
        <f>5953*1.04*1.05*1.05</f>
        <v>6825.7098000000005</v>
      </c>
      <c r="E238" s="166">
        <f>183*1.04*1.05*1.05</f>
        <v>209.82780000000002</v>
      </c>
      <c r="F238" s="179"/>
      <c r="G238" s="179"/>
      <c r="H238" s="176"/>
      <c r="I238" s="166">
        <f t="shared" si="44"/>
        <v>6615.8820000000005</v>
      </c>
    </row>
    <row r="239" spans="1:9" ht="51" customHeight="1">
      <c r="A239" s="85" t="s">
        <v>66</v>
      </c>
      <c r="B239" s="52" t="s">
        <v>200</v>
      </c>
      <c r="C239" s="47" t="s">
        <v>63</v>
      </c>
      <c r="D239" s="166">
        <f>3864*1.05*1.05*1.05</f>
        <v>4473.063000000001</v>
      </c>
      <c r="E239" s="238"/>
      <c r="F239" s="184">
        <v>136</v>
      </c>
      <c r="G239" s="184"/>
      <c r="H239" s="176"/>
      <c r="I239" s="166">
        <f t="shared" si="44"/>
        <v>4609.063000000001</v>
      </c>
    </row>
    <row r="240" spans="1:9" ht="51" customHeight="1">
      <c r="A240" s="391" t="s">
        <v>353</v>
      </c>
      <c r="B240" s="393" t="s">
        <v>200</v>
      </c>
      <c r="C240" s="392" t="s">
        <v>63</v>
      </c>
      <c r="D240" s="304">
        <v>0</v>
      </c>
      <c r="E240" s="304"/>
      <c r="F240" s="394">
        <v>0</v>
      </c>
      <c r="G240" s="394"/>
      <c r="H240" s="389"/>
      <c r="I240" s="304">
        <f t="shared" si="44"/>
        <v>0</v>
      </c>
    </row>
    <row r="241" spans="1:215" ht="51" customHeight="1">
      <c r="A241" s="60" t="s">
        <v>67</v>
      </c>
      <c r="B241" s="52" t="s">
        <v>200</v>
      </c>
      <c r="C241" s="148" t="s">
        <v>64</v>
      </c>
      <c r="D241" s="166">
        <f>5478*1.04*1.05*1.05</f>
        <v>6281.0748000000012</v>
      </c>
      <c r="E241" s="207">
        <f>102.96*1.05*1.05</f>
        <v>113.5134</v>
      </c>
      <c r="F241" s="252"/>
      <c r="G241" s="179"/>
      <c r="H241" s="176"/>
      <c r="I241" s="166">
        <f t="shared" si="44"/>
        <v>6167.5614000000014</v>
      </c>
    </row>
    <row r="242" spans="1:215" s="359" customFormat="1" ht="51" customHeight="1">
      <c r="A242" s="62" t="s">
        <v>88</v>
      </c>
      <c r="B242" s="121" t="s">
        <v>200</v>
      </c>
      <c r="C242" s="47" t="s">
        <v>10</v>
      </c>
      <c r="D242" s="291">
        <f>8268*1.04*1.05*1.05</f>
        <v>9480.0888000000014</v>
      </c>
      <c r="E242" s="291">
        <f>367*1.04*1.05*1.05</f>
        <v>420.80220000000003</v>
      </c>
      <c r="F242" s="252"/>
      <c r="G242" s="184"/>
      <c r="H242" s="176"/>
      <c r="I242" s="166">
        <f t="shared" si="44"/>
        <v>9059.2866000000013</v>
      </c>
    </row>
    <row r="243" spans="1:215" s="13" customFormat="1" ht="51" customHeight="1">
      <c r="A243" s="62" t="s">
        <v>211</v>
      </c>
      <c r="B243" s="149" t="s">
        <v>200</v>
      </c>
      <c r="C243" s="150" t="s">
        <v>230</v>
      </c>
      <c r="D243" s="166">
        <f>4006*1.05*1.05*1.05</f>
        <v>4637.4457500000008</v>
      </c>
      <c r="E243" s="166"/>
      <c r="F243" s="166">
        <v>90</v>
      </c>
      <c r="G243" s="40"/>
      <c r="H243" s="176"/>
      <c r="I243" s="166">
        <f t="shared" si="44"/>
        <v>4727.4457500000008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</row>
    <row r="244" spans="1:215" s="13" customFormat="1" ht="51" customHeight="1">
      <c r="A244" s="62" t="s">
        <v>245</v>
      </c>
      <c r="B244" s="113" t="s">
        <v>200</v>
      </c>
      <c r="C244" s="37" t="s">
        <v>230</v>
      </c>
      <c r="D244" s="166">
        <f>3910*1.05</f>
        <v>4105.5</v>
      </c>
      <c r="E244" s="166"/>
      <c r="F244" s="166">
        <v>90</v>
      </c>
      <c r="G244" s="40"/>
      <c r="H244" s="176"/>
      <c r="I244" s="166">
        <f t="shared" si="44"/>
        <v>4195.5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</row>
    <row r="245" spans="1:215" s="13" customFormat="1" ht="51" customHeight="1">
      <c r="A245" s="93" t="s">
        <v>281</v>
      </c>
      <c r="B245" s="22" t="s">
        <v>200</v>
      </c>
      <c r="C245" s="23" t="s">
        <v>230</v>
      </c>
      <c r="D245" s="166">
        <f>4191.93*1.05</f>
        <v>4401.5265000000009</v>
      </c>
      <c r="E245" s="166"/>
      <c r="F245" s="167">
        <v>90</v>
      </c>
      <c r="G245" s="167"/>
      <c r="H245" s="176"/>
      <c r="I245" s="166">
        <f t="shared" ref="I245:I247" si="45">D245-E245+F245+H245</f>
        <v>4491.5265000000009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</row>
    <row r="246" spans="1:215" s="13" customFormat="1" ht="51" customHeight="1">
      <c r="A246" s="93" t="s">
        <v>284</v>
      </c>
      <c r="B246" s="22" t="s">
        <v>200</v>
      </c>
      <c r="C246" s="23" t="s">
        <v>230</v>
      </c>
      <c r="D246" s="166">
        <f>4065.43*1.05</f>
        <v>4268.7015000000001</v>
      </c>
      <c r="E246" s="166"/>
      <c r="F246" s="167">
        <v>90</v>
      </c>
      <c r="G246" s="167"/>
      <c r="H246" s="176"/>
      <c r="I246" s="166">
        <f t="shared" si="45"/>
        <v>4358.7015000000001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</row>
    <row r="247" spans="1:215" s="13" customFormat="1" ht="51" customHeight="1" thickBot="1">
      <c r="A247" s="93" t="s">
        <v>337</v>
      </c>
      <c r="B247" s="22" t="s">
        <v>305</v>
      </c>
      <c r="C247" s="23" t="s">
        <v>230</v>
      </c>
      <c r="D247" s="166">
        <f>3370*1.05*1.05*1.05</f>
        <v>3901.1962500000004</v>
      </c>
      <c r="E247" s="166"/>
      <c r="F247" s="167">
        <v>90</v>
      </c>
      <c r="G247" s="167"/>
      <c r="H247" s="176"/>
      <c r="I247" s="166">
        <f t="shared" si="45"/>
        <v>3991.1962500000004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</row>
    <row r="248" spans="1:215" ht="25.5" customHeight="1" thickTop="1" thickBot="1">
      <c r="A248" s="62"/>
      <c r="B248" s="38"/>
      <c r="C248" s="239" t="s">
        <v>6</v>
      </c>
      <c r="D248" s="240">
        <f t="shared" ref="D248:H248" si="46">SUM(D235:D247)</f>
        <v>74283.409199999995</v>
      </c>
      <c r="E248" s="240">
        <f t="shared" si="46"/>
        <v>1702.7010000000002</v>
      </c>
      <c r="F248" s="240">
        <f t="shared" si="46"/>
        <v>586</v>
      </c>
      <c r="G248" s="240">
        <f t="shared" si="46"/>
        <v>0</v>
      </c>
      <c r="H248" s="242">
        <f t="shared" si="46"/>
        <v>0</v>
      </c>
      <c r="I248" s="240">
        <f>SUM(I235:I247)</f>
        <v>73166.708199999994</v>
      </c>
    </row>
    <row r="249" spans="1:215" ht="25.5" customHeight="1" thickBot="1">
      <c r="A249" s="62"/>
      <c r="B249" s="107"/>
      <c r="C249" s="169" t="s">
        <v>206</v>
      </c>
      <c r="D249" s="170">
        <f>D248-[3]MADRE!$H$328</f>
        <v>0</v>
      </c>
      <c r="E249" s="170">
        <f>E248-[1]MADRE!$I$328</f>
        <v>0</v>
      </c>
      <c r="F249" s="170">
        <f>F248-[3]MADRE!$J$328</f>
        <v>0</v>
      </c>
      <c r="G249" s="170">
        <f>G248-[23]MADRE!$K$337</f>
        <v>0</v>
      </c>
      <c r="H249" s="170">
        <f>H248-[3]MADRE!$L$328</f>
        <v>0</v>
      </c>
      <c r="I249" s="170">
        <f>I248-[3]MADRE!$M$328</f>
        <v>0</v>
      </c>
    </row>
    <row r="250" spans="1:215" ht="15" customHeight="1">
      <c r="A250" s="57" t="s">
        <v>186</v>
      </c>
      <c r="B250" s="138"/>
      <c r="C250" s="42"/>
      <c r="D250" s="42"/>
      <c r="E250" s="42"/>
      <c r="F250" s="42"/>
      <c r="G250" s="42"/>
      <c r="H250" s="247"/>
      <c r="I250" s="42"/>
    </row>
    <row r="252" spans="1:215" ht="51" customHeight="1" thickBot="1">
      <c r="A252" s="62" t="s">
        <v>77</v>
      </c>
      <c r="B252" s="22" t="s">
        <v>200</v>
      </c>
      <c r="C252" s="23" t="s">
        <v>75</v>
      </c>
      <c r="D252" s="266">
        <f>6405*1.04*1.05*1.05</f>
        <v>7343.9730000000009</v>
      </c>
      <c r="E252" s="266">
        <f>183*1.04*1.05*1.05</f>
        <v>209.82780000000002</v>
      </c>
      <c r="F252" s="266"/>
      <c r="G252" s="266"/>
      <c r="H252" s="369"/>
      <c r="I252" s="266">
        <f>D252-E252+F252+H252</f>
        <v>7134.1452000000008</v>
      </c>
    </row>
    <row r="253" spans="1:215" ht="25.5" customHeight="1" thickTop="1" thickBot="1">
      <c r="A253" s="74"/>
      <c r="B253" s="22"/>
      <c r="C253" s="239" t="s">
        <v>6</v>
      </c>
      <c r="D253" s="241">
        <f t="shared" ref="D253:H253" si="47">SUM(D252)</f>
        <v>7343.9730000000009</v>
      </c>
      <c r="E253" s="241">
        <f t="shared" si="47"/>
        <v>209.82780000000002</v>
      </c>
      <c r="F253" s="241">
        <f t="shared" si="47"/>
        <v>0</v>
      </c>
      <c r="G253" s="241">
        <f t="shared" si="47"/>
        <v>0</v>
      </c>
      <c r="H253" s="241">
        <f t="shared" si="47"/>
        <v>0</v>
      </c>
      <c r="I253" s="241">
        <f>SUM(I252)</f>
        <v>7134.1452000000008</v>
      </c>
    </row>
    <row r="254" spans="1:215" ht="25.5" customHeight="1" thickBot="1">
      <c r="A254" s="74"/>
      <c r="B254" s="107"/>
      <c r="C254" s="169" t="s">
        <v>206</v>
      </c>
      <c r="D254" s="170">
        <f>D253-[1]MADRE!$H$333</f>
        <v>0</v>
      </c>
      <c r="E254" s="170">
        <f>E253-[1]MADRE!$I$333</f>
        <v>0</v>
      </c>
      <c r="F254" s="170">
        <f>F253-[24]Hoja1!$J$341</f>
        <v>0</v>
      </c>
      <c r="G254" s="170">
        <f>G253-[24]Hoja1!$K$341</f>
        <v>0</v>
      </c>
      <c r="H254" s="170">
        <f>H253-[3]MADRE!$L$333</f>
        <v>0</v>
      </c>
      <c r="I254" s="170">
        <f>I253-[3]MADRE!$M$333</f>
        <v>0</v>
      </c>
    </row>
    <row r="255" spans="1:215" ht="15" customHeight="1">
      <c r="A255" s="57" t="s">
        <v>189</v>
      </c>
      <c r="B255" s="138"/>
      <c r="C255" s="42"/>
      <c r="D255" s="42"/>
      <c r="E255" s="42"/>
      <c r="F255" s="42"/>
      <c r="G255" s="42"/>
      <c r="H255" s="247"/>
      <c r="I255" s="42"/>
    </row>
    <row r="256" spans="1:215" ht="51" customHeight="1">
      <c r="A256" s="62" t="s">
        <v>78</v>
      </c>
      <c r="B256" s="151" t="s">
        <v>200</v>
      </c>
      <c r="C256" s="23" t="s">
        <v>82</v>
      </c>
      <c r="D256" s="166">
        <f>6592*1.04*1.05*1.05</f>
        <v>7558.387200000001</v>
      </c>
      <c r="E256" s="166">
        <f>220*1.04*1.05*1.05</f>
        <v>252.25200000000001</v>
      </c>
      <c r="F256" s="166"/>
      <c r="G256" s="166"/>
      <c r="H256" s="176"/>
      <c r="I256" s="166">
        <f>D256-E256+F256+H256</f>
        <v>7306.1352000000006</v>
      </c>
    </row>
    <row r="257" spans="1:9" ht="51" customHeight="1">
      <c r="A257" s="62" t="s">
        <v>422</v>
      </c>
      <c r="B257" s="144" t="s">
        <v>200</v>
      </c>
      <c r="C257" s="46" t="s">
        <v>20</v>
      </c>
      <c r="D257" s="166">
        <f>6700.72*1.05*1.05</f>
        <v>7387.5438000000004</v>
      </c>
      <c r="E257" s="166">
        <f>192.15*1.05*1.05</f>
        <v>211.84537500000002</v>
      </c>
      <c r="F257" s="166">
        <v>183</v>
      </c>
      <c r="G257" s="166"/>
      <c r="H257" s="176"/>
      <c r="I257" s="166">
        <f>D257-E257+F257+H257</f>
        <v>7358.6984250000005</v>
      </c>
    </row>
    <row r="258" spans="1:9" ht="51" customHeight="1">
      <c r="A258" s="62" t="s">
        <v>79</v>
      </c>
      <c r="B258" s="36" t="s">
        <v>200</v>
      </c>
      <c r="C258" s="22" t="s">
        <v>83</v>
      </c>
      <c r="D258" s="166">
        <f>5853*1.04*1.05*1.05</f>
        <v>6711.0498000000007</v>
      </c>
      <c r="E258" s="166">
        <f>183*1.04*1.05*1.05</f>
        <v>209.82780000000002</v>
      </c>
      <c r="F258" s="166"/>
      <c r="G258" s="166"/>
      <c r="H258" s="176"/>
      <c r="I258" s="166">
        <f>D258-E258+F258+H258</f>
        <v>6501.2220000000007</v>
      </c>
    </row>
    <row r="259" spans="1:9" ht="51" customHeight="1">
      <c r="A259" s="94" t="s">
        <v>80</v>
      </c>
      <c r="B259" s="312" t="s">
        <v>200</v>
      </c>
      <c r="C259" s="22" t="s">
        <v>83</v>
      </c>
      <c r="D259" s="166">
        <f>4977*1.04*1.05*1.05</f>
        <v>5706.6282000000001</v>
      </c>
      <c r="E259" s="166"/>
      <c r="F259" s="166">
        <v>90</v>
      </c>
      <c r="G259" s="166"/>
      <c r="H259" s="176"/>
      <c r="I259" s="166">
        <f t="shared" ref="I259:I262" si="48">D259-E259+F259+H259</f>
        <v>5796.6282000000001</v>
      </c>
    </row>
    <row r="260" spans="1:9" ht="51" customHeight="1">
      <c r="A260" s="95" t="s">
        <v>81</v>
      </c>
      <c r="B260" s="43" t="s">
        <v>200</v>
      </c>
      <c r="C260" s="39" t="s">
        <v>83</v>
      </c>
      <c r="D260" s="166">
        <f>4977*1.04*1.05*1.05</f>
        <v>5706.6282000000001</v>
      </c>
      <c r="E260" s="166"/>
      <c r="F260" s="204">
        <v>90</v>
      </c>
      <c r="G260" s="203"/>
      <c r="H260" s="176"/>
      <c r="I260" s="166">
        <f t="shared" si="48"/>
        <v>5796.6282000000001</v>
      </c>
    </row>
    <row r="261" spans="1:9" ht="51" customHeight="1">
      <c r="A261" s="60" t="s">
        <v>258</v>
      </c>
      <c r="B261" s="22" t="s">
        <v>200</v>
      </c>
      <c r="C261" s="22" t="s">
        <v>230</v>
      </c>
      <c r="D261" s="166">
        <f>3709*1.04*1.05*1.05</f>
        <v>4252.7394000000004</v>
      </c>
      <c r="E261" s="166"/>
      <c r="F261" s="235">
        <v>95</v>
      </c>
      <c r="G261" s="236"/>
      <c r="H261" s="176"/>
      <c r="I261" s="166">
        <f t="shared" si="48"/>
        <v>4347.7394000000004</v>
      </c>
    </row>
    <row r="262" spans="1:9" ht="51" customHeight="1" thickBot="1">
      <c r="A262" s="60" t="s">
        <v>338</v>
      </c>
      <c r="B262" s="22" t="s">
        <v>305</v>
      </c>
      <c r="C262" s="22" t="s">
        <v>339</v>
      </c>
      <c r="D262" s="166">
        <f>4977*1.04*1.05*1.05</f>
        <v>5706.6282000000001</v>
      </c>
      <c r="E262" s="166"/>
      <c r="F262" s="235">
        <v>90</v>
      </c>
      <c r="G262" s="236"/>
      <c r="H262" s="176"/>
      <c r="I262" s="166">
        <f t="shared" si="48"/>
        <v>5796.6282000000001</v>
      </c>
    </row>
    <row r="263" spans="1:9" ht="25.5" customHeight="1" thickTop="1" thickBot="1">
      <c r="A263" s="62"/>
      <c r="B263" s="121"/>
      <c r="C263" s="239" t="s">
        <v>6</v>
      </c>
      <c r="D263" s="242">
        <f t="shared" ref="D263:H263" si="49">SUM(D256:D262)</f>
        <v>43029.604800000001</v>
      </c>
      <c r="E263" s="242">
        <f t="shared" si="49"/>
        <v>673.92517500000008</v>
      </c>
      <c r="F263" s="242">
        <f t="shared" si="49"/>
        <v>548</v>
      </c>
      <c r="G263" s="242">
        <f t="shared" si="49"/>
        <v>0</v>
      </c>
      <c r="H263" s="242">
        <f t="shared" si="49"/>
        <v>0</v>
      </c>
      <c r="I263" s="242">
        <f>SUM(I256:I262)</f>
        <v>42903.679624999997</v>
      </c>
    </row>
    <row r="264" spans="1:9" ht="25.5" customHeight="1" thickBot="1">
      <c r="A264" s="62"/>
      <c r="B264" s="107"/>
      <c r="C264" s="169" t="s">
        <v>206</v>
      </c>
      <c r="D264" s="170">
        <f>D263-[1]MADRE!$H$343</f>
        <v>0</v>
      </c>
      <c r="E264" s="170">
        <f>E263-[1]MADRE!$I$343</f>
        <v>0</v>
      </c>
      <c r="F264" s="170">
        <f>F263-[25]MADRE!$J$354</f>
        <v>0</v>
      </c>
      <c r="G264" s="170">
        <f>G263-[2]MADRE!K$352</f>
        <v>0</v>
      </c>
      <c r="H264" s="170">
        <f>H263-[3]MADRE!$L$343</f>
        <v>0</v>
      </c>
      <c r="I264" s="170">
        <f>I263-[3]MADRE!$M$343</f>
        <v>0</v>
      </c>
    </row>
    <row r="265" spans="1:9" ht="15" customHeight="1">
      <c r="A265" s="57" t="s">
        <v>187</v>
      </c>
      <c r="B265" s="138"/>
      <c r="C265" s="42"/>
      <c r="D265" s="42"/>
      <c r="E265" s="42"/>
      <c r="F265" s="42"/>
      <c r="G265" s="42"/>
      <c r="H265" s="247"/>
      <c r="I265" s="42"/>
    </row>
    <row r="266" spans="1:9" ht="40.5" customHeight="1">
      <c r="A266" s="62" t="s">
        <v>340</v>
      </c>
      <c r="B266" s="22" t="s">
        <v>200</v>
      </c>
      <c r="C266" s="23" t="s">
        <v>146</v>
      </c>
      <c r="D266" s="167">
        <f>5936*1.04*1.05*1.05</f>
        <v>6806.2176000000018</v>
      </c>
      <c r="E266" s="167">
        <f>183*1.04*1.05*1.05</f>
        <v>209.82780000000002</v>
      </c>
      <c r="F266" s="167"/>
      <c r="G266" s="167"/>
      <c r="H266" s="168"/>
      <c r="I266" s="166">
        <f>D266-E266+F266+H266</f>
        <v>6596.3898000000017</v>
      </c>
    </row>
    <row r="267" spans="1:9" ht="40.5" customHeight="1">
      <c r="A267" s="62" t="s">
        <v>84</v>
      </c>
      <c r="B267" s="38" t="s">
        <v>200</v>
      </c>
      <c r="C267" s="23" t="s">
        <v>86</v>
      </c>
      <c r="D267" s="166">
        <f>4756*1.04*1.05*1.05</f>
        <v>5453.2295999999997</v>
      </c>
      <c r="E267" s="166">
        <f>183*1.05*1.05</f>
        <v>201.75750000000002</v>
      </c>
      <c r="F267" s="166">
        <v>90</v>
      </c>
      <c r="G267" s="166"/>
      <c r="H267" s="168"/>
      <c r="I267" s="166">
        <f>D267-E267+F267+H267</f>
        <v>5341.4721</v>
      </c>
    </row>
    <row r="268" spans="1:9" ht="40.5" customHeight="1" thickBot="1">
      <c r="A268" s="62" t="s">
        <v>85</v>
      </c>
      <c r="B268" s="38" t="s">
        <v>200</v>
      </c>
      <c r="C268" s="22" t="s">
        <v>22</v>
      </c>
      <c r="D268" s="166">
        <f>4067*1.04*1.05*1.05</f>
        <v>4663.2222000000011</v>
      </c>
      <c r="E268" s="166"/>
      <c r="F268" s="166">
        <v>110</v>
      </c>
      <c r="G268" s="166"/>
      <c r="H268" s="168"/>
      <c r="I268" s="166">
        <f>D268-E268+F268+H268</f>
        <v>4773.2222000000011</v>
      </c>
    </row>
    <row r="269" spans="1:9" ht="25.5" customHeight="1" thickTop="1" thickBot="1">
      <c r="A269" s="62"/>
      <c r="B269" s="38"/>
      <c r="C269" s="239" t="s">
        <v>6</v>
      </c>
      <c r="D269" s="242">
        <f t="shared" ref="D269:H269" si="50">SUM(D266:D268)</f>
        <v>16922.669400000002</v>
      </c>
      <c r="E269" s="242">
        <f t="shared" si="50"/>
        <v>411.58530000000007</v>
      </c>
      <c r="F269" s="242">
        <f t="shared" si="50"/>
        <v>200</v>
      </c>
      <c r="G269" s="242">
        <f t="shared" si="50"/>
        <v>0</v>
      </c>
      <c r="H269" s="242">
        <f t="shared" si="50"/>
        <v>0</v>
      </c>
      <c r="I269" s="242">
        <f>SUM(I266:I268)</f>
        <v>16711.084100000004</v>
      </c>
    </row>
    <row r="270" spans="1:9" ht="28.5" customHeight="1" thickBot="1">
      <c r="A270" s="62"/>
      <c r="B270" s="107"/>
      <c r="C270" s="169" t="s">
        <v>206</v>
      </c>
      <c r="D270" s="170">
        <f>D269-[1]MADRE!$H$349</f>
        <v>0</v>
      </c>
      <c r="E270" s="170">
        <f>E269-[1]MADRE!$I$349</f>
        <v>0</v>
      </c>
      <c r="F270" s="170">
        <f>F269-[2]MADRE!J$358</f>
        <v>0</v>
      </c>
      <c r="G270" s="170">
        <f>G269-[2]MADRE!K$358</f>
        <v>0</v>
      </c>
      <c r="H270" s="170">
        <f>H269-[3]MADRE!$L$349</f>
        <v>0</v>
      </c>
      <c r="I270" s="170">
        <f>I269-[3]MADRE!$M$349</f>
        <v>0</v>
      </c>
    </row>
    <row r="271" spans="1:9" ht="15" customHeight="1">
      <c r="A271" s="57" t="s">
        <v>188</v>
      </c>
      <c r="B271" s="138"/>
      <c r="C271" s="42"/>
      <c r="D271" s="42"/>
      <c r="E271" s="42"/>
      <c r="F271" s="42"/>
      <c r="G271" s="42"/>
      <c r="H271" s="247"/>
      <c r="I271" s="42"/>
    </row>
    <row r="272" spans="1:9" ht="40.5" customHeight="1">
      <c r="A272" s="60" t="s">
        <v>93</v>
      </c>
      <c r="B272" s="128" t="s">
        <v>200</v>
      </c>
      <c r="C272" s="22" t="s">
        <v>90</v>
      </c>
      <c r="D272" s="166">
        <f>4410*1.05*1.05*1.05</f>
        <v>5105.1262500000012</v>
      </c>
      <c r="E272" s="166"/>
      <c r="F272" s="166">
        <v>90</v>
      </c>
      <c r="G272" s="166"/>
      <c r="H272" s="176"/>
      <c r="I272" s="166">
        <f>D272-E272+F272+G272+H272</f>
        <v>5195.1262500000012</v>
      </c>
    </row>
    <row r="273" spans="1:215" ht="40.5" customHeight="1">
      <c r="A273" s="60" t="s">
        <v>96</v>
      </c>
      <c r="B273" s="114" t="s">
        <v>200</v>
      </c>
      <c r="C273" s="51" t="s">
        <v>90</v>
      </c>
      <c r="D273" s="166">
        <f>4866*1.05*1.05</f>
        <v>5364.7650000000003</v>
      </c>
      <c r="E273" s="166"/>
      <c r="F273" s="166">
        <v>90</v>
      </c>
      <c r="G273" s="166"/>
      <c r="H273" s="176"/>
      <c r="I273" s="166">
        <f t="shared" ref="I273:I288" si="51">D273-E273+F273+G273+H273</f>
        <v>5454.7650000000003</v>
      </c>
    </row>
    <row r="274" spans="1:215" ht="40.5" customHeight="1">
      <c r="A274" s="60" t="s">
        <v>97</v>
      </c>
      <c r="B274" s="43" t="s">
        <v>200</v>
      </c>
      <c r="C274" s="52" t="s">
        <v>65</v>
      </c>
      <c r="D274" s="166">
        <f>4701*1.05*1.05*1.054</f>
        <v>5462.7265349999998</v>
      </c>
      <c r="E274" s="166"/>
      <c r="F274" s="166">
        <v>90</v>
      </c>
      <c r="G274" s="166"/>
      <c r="H274" s="176"/>
      <c r="I274" s="166">
        <f t="shared" si="51"/>
        <v>5552.7265349999998</v>
      </c>
    </row>
    <row r="275" spans="1:215" ht="40.5" customHeight="1">
      <c r="A275" s="60" t="s">
        <v>98</v>
      </c>
      <c r="B275" s="36" t="s">
        <v>200</v>
      </c>
      <c r="C275" s="22" t="s">
        <v>90</v>
      </c>
      <c r="D275" s="166">
        <f>4415*1.05*1.05*1.05</f>
        <v>5110.9143750000003</v>
      </c>
      <c r="E275" s="166"/>
      <c r="F275" s="166">
        <v>90</v>
      </c>
      <c r="G275" s="166"/>
      <c r="H275" s="176"/>
      <c r="I275" s="166">
        <f t="shared" si="51"/>
        <v>5200.9143750000003</v>
      </c>
    </row>
    <row r="276" spans="1:215" ht="40.5" customHeight="1">
      <c r="A276" s="96" t="s">
        <v>99</v>
      </c>
      <c r="B276" s="35" t="s">
        <v>200</v>
      </c>
      <c r="C276" s="34" t="s">
        <v>90</v>
      </c>
      <c r="D276" s="166">
        <f>4635.75*1.05*1.05</f>
        <v>5110.9143750000003</v>
      </c>
      <c r="E276" s="166"/>
      <c r="F276" s="180">
        <v>90</v>
      </c>
      <c r="G276" s="181"/>
      <c r="H276" s="176"/>
      <c r="I276" s="166">
        <f t="shared" si="51"/>
        <v>5200.9143750000003</v>
      </c>
    </row>
    <row r="277" spans="1:215" ht="40.5" customHeight="1">
      <c r="A277" s="97" t="s">
        <v>240</v>
      </c>
      <c r="B277" s="143" t="s">
        <v>200</v>
      </c>
      <c r="C277" s="50" t="s">
        <v>90</v>
      </c>
      <c r="D277" s="166">
        <f>3351*1.05*1.05*1.05</f>
        <v>3879.2013750000006</v>
      </c>
      <c r="E277" s="166"/>
      <c r="F277" s="166">
        <v>165</v>
      </c>
      <c r="G277" s="179"/>
      <c r="H277" s="176"/>
      <c r="I277" s="166">
        <f t="shared" si="51"/>
        <v>4044.2013750000006</v>
      </c>
    </row>
    <row r="278" spans="1:215" ht="40.5" customHeight="1">
      <c r="A278" s="98" t="s">
        <v>101</v>
      </c>
      <c r="B278" s="143" t="s">
        <v>200</v>
      </c>
      <c r="C278" s="159" t="s">
        <v>91</v>
      </c>
      <c r="D278" s="166">
        <f>4707*1.05*1.05*1.05</f>
        <v>5448.9408750000011</v>
      </c>
      <c r="E278" s="166"/>
      <c r="F278" s="166">
        <v>90</v>
      </c>
      <c r="G278" s="179"/>
      <c r="H278" s="176"/>
      <c r="I278" s="166">
        <f t="shared" si="51"/>
        <v>5538.9408750000011</v>
      </c>
    </row>
    <row r="279" spans="1:215" s="14" customFormat="1" ht="40.5" customHeight="1">
      <c r="A279" s="99" t="s">
        <v>103</v>
      </c>
      <c r="B279" s="153" t="s">
        <v>200</v>
      </c>
      <c r="C279" s="283" t="s">
        <v>92</v>
      </c>
      <c r="D279" s="284">
        <f>2000*1.05*1.05*1.05</f>
        <v>2315.25</v>
      </c>
      <c r="E279" s="284"/>
      <c r="F279" s="285">
        <v>165</v>
      </c>
      <c r="G279" s="286"/>
      <c r="H279" s="176"/>
      <c r="I279" s="166">
        <f t="shared" si="51"/>
        <v>2480.25</v>
      </c>
    </row>
    <row r="280" spans="1:215" ht="40.5" customHeight="1">
      <c r="A280" s="100" t="s">
        <v>114</v>
      </c>
      <c r="B280" s="154" t="s">
        <v>200</v>
      </c>
      <c r="C280" s="115" t="s">
        <v>90</v>
      </c>
      <c r="D280" s="166">
        <f>4200*1.05*1.05</f>
        <v>4630.5</v>
      </c>
      <c r="E280" s="166"/>
      <c r="F280" s="203">
        <v>111</v>
      </c>
      <c r="G280" s="184"/>
      <c r="H280" s="176"/>
      <c r="I280" s="166">
        <f t="shared" si="51"/>
        <v>4741.5</v>
      </c>
    </row>
    <row r="281" spans="1:215" ht="40.5" customHeight="1">
      <c r="A281" s="62" t="s">
        <v>104</v>
      </c>
      <c r="B281" s="152" t="s">
        <v>200</v>
      </c>
      <c r="C281" s="143" t="s">
        <v>65</v>
      </c>
      <c r="D281" s="166">
        <f>4942*1.05*1.05</f>
        <v>5448.5550000000003</v>
      </c>
      <c r="E281" s="166"/>
      <c r="F281" s="166">
        <f>F391</f>
        <v>90</v>
      </c>
      <c r="G281" s="166"/>
      <c r="H281" s="176"/>
      <c r="I281" s="166">
        <f t="shared" si="51"/>
        <v>5538.5550000000003</v>
      </c>
    </row>
    <row r="282" spans="1:215" ht="40.5" customHeight="1">
      <c r="A282" s="95" t="s">
        <v>113</v>
      </c>
      <c r="B282" s="50" t="s">
        <v>200</v>
      </c>
      <c r="C282" s="115" t="s">
        <v>142</v>
      </c>
      <c r="D282" s="166">
        <f>6019*1.05*1.05*1.05</f>
        <v>6967.7448750000003</v>
      </c>
      <c r="E282" s="166">
        <f>183*1.05*1.05*1.05</f>
        <v>211.84537500000002</v>
      </c>
      <c r="F282" s="178"/>
      <c r="G282" s="178"/>
      <c r="H282" s="176"/>
      <c r="I282" s="166">
        <f>D282-E282+F282+G282+H282</f>
        <v>6755.8995000000004</v>
      </c>
    </row>
    <row r="283" spans="1:215" ht="40.5" customHeight="1">
      <c r="A283" s="84" t="s">
        <v>227</v>
      </c>
      <c r="B283" s="38" t="s">
        <v>200</v>
      </c>
      <c r="C283" s="46" t="s">
        <v>64</v>
      </c>
      <c r="D283" s="166">
        <f>4415*1.05*1.05*1.05</f>
        <v>5110.9143750000003</v>
      </c>
      <c r="E283" s="166"/>
      <c r="F283" s="166">
        <v>90</v>
      </c>
      <c r="G283" s="166"/>
      <c r="H283" s="176"/>
      <c r="I283" s="166">
        <f t="shared" si="51"/>
        <v>5200.9143750000003</v>
      </c>
    </row>
    <row r="284" spans="1:215" ht="40.5" customHeight="1">
      <c r="A284" s="80" t="s">
        <v>229</v>
      </c>
      <c r="B284" s="129" t="s">
        <v>200</v>
      </c>
      <c r="C284" s="243" t="s">
        <v>232</v>
      </c>
      <c r="D284" s="166">
        <f>4415*1.05*1.05*1.05</f>
        <v>5110.9143750000003</v>
      </c>
      <c r="E284" s="166"/>
      <c r="F284" s="166">
        <v>90</v>
      </c>
      <c r="G284" s="166"/>
      <c r="H284" s="176"/>
      <c r="I284" s="166">
        <f t="shared" si="51"/>
        <v>5200.9143750000003</v>
      </c>
    </row>
    <row r="285" spans="1:215" ht="40.5" customHeight="1">
      <c r="A285" s="60" t="s">
        <v>238</v>
      </c>
      <c r="B285" s="38" t="s">
        <v>200</v>
      </c>
      <c r="C285" s="37" t="s">
        <v>235</v>
      </c>
      <c r="D285" s="166">
        <f>3891.5*1.05</f>
        <v>4086.0750000000003</v>
      </c>
      <c r="E285" s="166"/>
      <c r="F285" s="166">
        <v>95</v>
      </c>
      <c r="G285" s="166"/>
      <c r="H285" s="176"/>
      <c r="I285" s="166">
        <f t="shared" si="51"/>
        <v>4181.0750000000007</v>
      </c>
    </row>
    <row r="286" spans="1:215" ht="40.5" customHeight="1">
      <c r="A286" s="60" t="s">
        <v>239</v>
      </c>
      <c r="B286" s="38" t="s">
        <v>200</v>
      </c>
      <c r="C286" s="37" t="s">
        <v>235</v>
      </c>
      <c r="D286" s="166">
        <f>4415*1.05*1.05*1.05</f>
        <v>5110.9143750000003</v>
      </c>
      <c r="E286" s="166"/>
      <c r="F286" s="166">
        <v>90</v>
      </c>
      <c r="G286" s="166"/>
      <c r="H286" s="176"/>
      <c r="I286" s="166">
        <f t="shared" si="51"/>
        <v>5200.9143750000003</v>
      </c>
    </row>
    <row r="287" spans="1:215" s="13" customFormat="1" ht="51" customHeight="1">
      <c r="A287" s="93" t="s">
        <v>285</v>
      </c>
      <c r="B287" s="38" t="s">
        <v>200</v>
      </c>
      <c r="C287" s="37" t="s">
        <v>235</v>
      </c>
      <c r="D287" s="166">
        <f>3990*1.05</f>
        <v>4189.5</v>
      </c>
      <c r="E287" s="166"/>
      <c r="F287" s="167">
        <v>90</v>
      </c>
      <c r="G287" s="167"/>
      <c r="H287" s="176"/>
      <c r="I287" s="166">
        <f>D287-E287+F287+H287</f>
        <v>4279.5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</row>
    <row r="288" spans="1:215" ht="40.5" customHeight="1" thickBot="1">
      <c r="A288" s="62" t="s">
        <v>265</v>
      </c>
      <c r="B288" s="38" t="s">
        <v>200</v>
      </c>
      <c r="C288" s="23" t="s">
        <v>235</v>
      </c>
      <c r="D288" s="166">
        <f>3520*1.05*1.05*1.05</f>
        <v>4074.84</v>
      </c>
      <c r="E288" s="166"/>
      <c r="F288" s="166">
        <v>90</v>
      </c>
      <c r="G288" s="166"/>
      <c r="H288" s="176"/>
      <c r="I288" s="166">
        <f t="shared" si="51"/>
        <v>4164.84</v>
      </c>
    </row>
    <row r="289" spans="1:9" ht="25.5" customHeight="1" thickTop="1" thickBot="1">
      <c r="A289" s="60"/>
      <c r="B289" s="38"/>
      <c r="C289" s="239" t="s">
        <v>6</v>
      </c>
      <c r="D289" s="242">
        <f t="shared" ref="D289:H289" si="52">SUM(D272:D288)</f>
        <v>82527.796785000013</v>
      </c>
      <c r="E289" s="242">
        <f t="shared" si="52"/>
        <v>211.84537500000002</v>
      </c>
      <c r="F289" s="242">
        <f t="shared" si="52"/>
        <v>1616</v>
      </c>
      <c r="G289" s="242">
        <f t="shared" si="52"/>
        <v>0</v>
      </c>
      <c r="H289" s="242">
        <f t="shared" si="52"/>
        <v>0</v>
      </c>
      <c r="I289" s="242">
        <f>SUM(I272:I288)</f>
        <v>83931.951410000009</v>
      </c>
    </row>
    <row r="290" spans="1:9" ht="25.5" customHeight="1" thickBot="1">
      <c r="A290" s="60"/>
      <c r="B290" s="107"/>
      <c r="C290" s="169" t="s">
        <v>206</v>
      </c>
      <c r="D290" s="170">
        <f>D289-[3]MADRE!$H$369</f>
        <v>0</v>
      </c>
      <c r="E290" s="170">
        <f>E289-[1]MADRE!$I$369</f>
        <v>0</v>
      </c>
      <c r="F290" s="170">
        <f>F289-[3]MADRE!$J$369</f>
        <v>0</v>
      </c>
      <c r="G290" s="170">
        <f>G289-[2]MADRE!$K$378</f>
        <v>0</v>
      </c>
      <c r="H290" s="170">
        <f>H289-[3]MADRE!$L$369</f>
        <v>0</v>
      </c>
      <c r="I290" s="170">
        <f>I289-[3]MADRE!$M$369</f>
        <v>0</v>
      </c>
    </row>
    <row r="291" spans="1:9" ht="15" customHeight="1">
      <c r="A291" s="57" t="s">
        <v>190</v>
      </c>
      <c r="B291" s="138"/>
      <c r="C291" s="42"/>
      <c r="D291" s="42"/>
      <c r="E291" s="42"/>
      <c r="F291" s="42"/>
      <c r="G291" s="42"/>
      <c r="H291" s="247"/>
      <c r="I291" s="42"/>
    </row>
    <row r="292" spans="1:9" ht="51" customHeight="1">
      <c r="A292" s="62" t="s">
        <v>117</v>
      </c>
      <c r="B292" s="50" t="s">
        <v>200</v>
      </c>
      <c r="C292" s="23" t="s">
        <v>143</v>
      </c>
      <c r="D292" s="166">
        <f>6272*1.04*1.05*1.05</f>
        <v>7191.4752000000008</v>
      </c>
      <c r="E292" s="166">
        <f>183*1.04*1.05*1.05</f>
        <v>209.82780000000002</v>
      </c>
      <c r="F292" s="166"/>
      <c r="G292" s="166"/>
      <c r="H292" s="176"/>
      <c r="I292" s="166">
        <f t="shared" ref="I292:I299" si="53">D292-E292+F292+H292</f>
        <v>6981.6474000000007</v>
      </c>
    </row>
    <row r="293" spans="1:9" ht="51" customHeight="1">
      <c r="A293" s="60" t="s">
        <v>111</v>
      </c>
      <c r="B293" s="143" t="s">
        <v>200</v>
      </c>
      <c r="C293" s="37" t="s">
        <v>105</v>
      </c>
      <c r="D293" s="166">
        <f>4415*1.05*1.05*1.05</f>
        <v>5110.9143750000003</v>
      </c>
      <c r="E293" s="166"/>
      <c r="F293" s="166">
        <v>90</v>
      </c>
      <c r="G293" s="166"/>
      <c r="H293" s="176"/>
      <c r="I293" s="166">
        <f t="shared" si="53"/>
        <v>5200.9143750000003</v>
      </c>
    </row>
    <row r="294" spans="1:9" ht="51" customHeight="1">
      <c r="A294" s="62" t="s">
        <v>116</v>
      </c>
      <c r="B294" s="36" t="s">
        <v>200</v>
      </c>
      <c r="C294" s="37" t="s">
        <v>105</v>
      </c>
      <c r="D294" s="166">
        <f>4415*1.05*1.05*1.05</f>
        <v>5110.9143750000003</v>
      </c>
      <c r="E294" s="244"/>
      <c r="F294" s="244">
        <v>90</v>
      </c>
      <c r="G294" s="244"/>
      <c r="H294" s="176"/>
      <c r="I294" s="166">
        <f t="shared" si="53"/>
        <v>5200.9143750000003</v>
      </c>
    </row>
    <row r="295" spans="1:9" s="4" customFormat="1" ht="51" customHeight="1">
      <c r="A295" s="85" t="s">
        <v>109</v>
      </c>
      <c r="B295" s="35" t="s">
        <v>200</v>
      </c>
      <c r="C295" s="146" t="s">
        <v>106</v>
      </c>
      <c r="D295" s="166">
        <f>5267.54*1.05</f>
        <v>5530.9170000000004</v>
      </c>
      <c r="E295" s="166"/>
      <c r="F295" s="180">
        <v>90</v>
      </c>
      <c r="G295" s="181"/>
      <c r="H295" s="176"/>
      <c r="I295" s="166">
        <f t="shared" si="53"/>
        <v>5620.9170000000004</v>
      </c>
    </row>
    <row r="296" spans="1:9" s="4" customFormat="1" ht="51" customHeight="1">
      <c r="A296" s="60" t="s">
        <v>110</v>
      </c>
      <c r="B296" s="35" t="s">
        <v>200</v>
      </c>
      <c r="C296" s="125" t="s">
        <v>144</v>
      </c>
      <c r="D296" s="166">
        <f>4415*1.05*1.05*1.05</f>
        <v>5110.9143750000003</v>
      </c>
      <c r="E296" s="166"/>
      <c r="F296" s="166">
        <v>90</v>
      </c>
      <c r="G296" s="166"/>
      <c r="H296" s="176"/>
      <c r="I296" s="166">
        <f t="shared" si="53"/>
        <v>5200.9143750000003</v>
      </c>
    </row>
    <row r="297" spans="1:9" s="4" customFormat="1" ht="51" customHeight="1">
      <c r="A297" s="80" t="s">
        <v>60</v>
      </c>
      <c r="B297" s="43" t="s">
        <v>200</v>
      </c>
      <c r="C297" s="52" t="s">
        <v>230</v>
      </c>
      <c r="D297" s="166">
        <f>4817*1.04*1.05*1.05</f>
        <v>5523.1722000000009</v>
      </c>
      <c r="E297" s="213">
        <f>99*1.04*1.05*1.05</f>
        <v>113.51340000000002</v>
      </c>
      <c r="F297" s="203"/>
      <c r="G297" s="184"/>
      <c r="H297" s="176"/>
      <c r="I297" s="166">
        <f t="shared" si="53"/>
        <v>5409.6588000000011</v>
      </c>
    </row>
    <row r="298" spans="1:9" s="4" customFormat="1" ht="51" customHeight="1">
      <c r="A298" s="60" t="s">
        <v>302</v>
      </c>
      <c r="B298" s="36" t="s">
        <v>200</v>
      </c>
      <c r="C298" s="220" t="s">
        <v>230</v>
      </c>
      <c r="D298" s="166">
        <f>3872.82*1.05</f>
        <v>4066.4610000000002</v>
      </c>
      <c r="E298" s="166"/>
      <c r="F298" s="166">
        <v>120</v>
      </c>
      <c r="G298" s="166"/>
      <c r="H298" s="176"/>
      <c r="I298" s="166">
        <f t="shared" si="53"/>
        <v>4186.4610000000002</v>
      </c>
    </row>
    <row r="299" spans="1:9" s="4" customFormat="1" ht="51" customHeight="1" thickBot="1">
      <c r="A299" s="60" t="s">
        <v>306</v>
      </c>
      <c r="B299" s="36" t="s">
        <v>200</v>
      </c>
      <c r="C299" s="122" t="s">
        <v>439</v>
      </c>
      <c r="D299" s="166">
        <f>7138.92*1.05</f>
        <v>7495.866</v>
      </c>
      <c r="E299" s="166">
        <f>126*1.05*1.05*1.05</f>
        <v>145.86075000000002</v>
      </c>
      <c r="F299" s="166"/>
      <c r="G299" s="166"/>
      <c r="H299" s="176"/>
      <c r="I299" s="166">
        <f t="shared" si="53"/>
        <v>7350.0052500000002</v>
      </c>
    </row>
    <row r="300" spans="1:9" s="4" customFormat="1" ht="25.5" customHeight="1" thickTop="1" thickBot="1">
      <c r="A300" s="62"/>
      <c r="B300" s="36"/>
      <c r="C300" s="239" t="s">
        <v>6</v>
      </c>
      <c r="D300" s="242">
        <f>SUM(D292:D299)</f>
        <v>45140.634525000009</v>
      </c>
      <c r="E300" s="242">
        <f t="shared" ref="E300:H300" si="54">SUM(E292:E299)</f>
        <v>469.20195000000012</v>
      </c>
      <c r="F300" s="242">
        <f t="shared" si="54"/>
        <v>480</v>
      </c>
      <c r="G300" s="242">
        <f t="shared" si="54"/>
        <v>0</v>
      </c>
      <c r="H300" s="242">
        <f t="shared" si="54"/>
        <v>0</v>
      </c>
      <c r="I300" s="242">
        <f>SUM(I292:I299)</f>
        <v>45151.432575000006</v>
      </c>
    </row>
    <row r="301" spans="1:9" s="4" customFormat="1" ht="25.5" customHeight="1" thickBot="1">
      <c r="A301" s="62"/>
      <c r="B301" s="155"/>
      <c r="C301" s="169" t="s">
        <v>206</v>
      </c>
      <c r="D301" s="170">
        <f>D300-[1]MADRE!$H$380</f>
        <v>0</v>
      </c>
      <c r="E301" s="170">
        <f>E300-[1]MADRE!$I$380</f>
        <v>0</v>
      </c>
      <c r="F301" s="170">
        <f>F300-[2]MADRE!J$390</f>
        <v>0</v>
      </c>
      <c r="G301" s="170">
        <f>G300-[2]MADRE!K$390</f>
        <v>0</v>
      </c>
      <c r="H301" s="170">
        <f>H300-[3]MADRE!$L$380</f>
        <v>0</v>
      </c>
      <c r="I301" s="170">
        <f>I300-[3]MADRE!$M$380</f>
        <v>0</v>
      </c>
    </row>
    <row r="302" spans="1:9" s="4" customFormat="1" ht="15" customHeight="1">
      <c r="A302" s="57" t="s">
        <v>191</v>
      </c>
      <c r="B302" s="156"/>
      <c r="C302" s="42"/>
      <c r="D302" s="42"/>
      <c r="E302" s="42"/>
      <c r="F302" s="42"/>
      <c r="G302" s="42"/>
      <c r="H302" s="247"/>
      <c r="I302" s="42"/>
    </row>
    <row r="303" spans="1:9" ht="51" customHeight="1" thickBot="1">
      <c r="A303" s="62" t="s">
        <v>89</v>
      </c>
      <c r="B303" s="129" t="s">
        <v>200</v>
      </c>
      <c r="C303" s="23" t="s">
        <v>87</v>
      </c>
      <c r="D303" s="166">
        <f>3511*1.05*1.05*1.05</f>
        <v>4064.4213750000008</v>
      </c>
      <c r="E303" s="166"/>
      <c r="F303" s="166">
        <v>130</v>
      </c>
      <c r="G303" s="166"/>
      <c r="H303" s="176"/>
      <c r="I303" s="166">
        <f>D303-E303+F303+H303</f>
        <v>4194.4213750000008</v>
      </c>
    </row>
    <row r="304" spans="1:9" s="4" customFormat="1" ht="25.5" customHeight="1" thickTop="1" thickBot="1">
      <c r="A304" s="62"/>
      <c r="B304" s="38"/>
      <c r="C304" s="239" t="s">
        <v>6</v>
      </c>
      <c r="D304" s="175">
        <f t="shared" ref="D304:H304" si="55">SUM(D303)</f>
        <v>4064.4213750000008</v>
      </c>
      <c r="E304" s="175">
        <f t="shared" si="55"/>
        <v>0</v>
      </c>
      <c r="F304" s="175">
        <f t="shared" si="55"/>
        <v>130</v>
      </c>
      <c r="G304" s="175">
        <f t="shared" si="55"/>
        <v>0</v>
      </c>
      <c r="H304" s="175">
        <f t="shared" si="55"/>
        <v>0</v>
      </c>
      <c r="I304" s="175">
        <f>SUM(I303)</f>
        <v>4194.4213750000008</v>
      </c>
    </row>
    <row r="305" spans="1:9" s="4" customFormat="1" ht="25.5" customHeight="1" thickBot="1">
      <c r="A305" s="62"/>
      <c r="B305" s="107"/>
      <c r="C305" s="169" t="s">
        <v>206</v>
      </c>
      <c r="D305" s="170">
        <f>D304-[1]MADRE!$H$384</f>
        <v>0</v>
      </c>
      <c r="E305" s="170">
        <f>E304-[2]MADRE!I$394</f>
        <v>0</v>
      </c>
      <c r="F305" s="170">
        <f>F304-[2]MADRE!J$394</f>
        <v>0</v>
      </c>
      <c r="G305" s="170">
        <f>G304-[2]MADRE!K$394</f>
        <v>0</v>
      </c>
      <c r="H305" s="170">
        <f>H304-[3]MADRE!$L$384</f>
        <v>0</v>
      </c>
      <c r="I305" s="170">
        <f>I304-[3]MADRE!$M$384</f>
        <v>0</v>
      </c>
    </row>
    <row r="306" spans="1:9" s="4" customFormat="1" ht="15" customHeight="1">
      <c r="A306" s="25" t="s">
        <v>192</v>
      </c>
      <c r="B306" s="106"/>
      <c r="C306" s="28"/>
      <c r="D306" s="28"/>
      <c r="E306" s="28"/>
      <c r="F306" s="28"/>
      <c r="G306" s="28"/>
      <c r="H306" s="364"/>
      <c r="I306" s="28"/>
    </row>
    <row r="307" spans="1:9" s="4" customFormat="1" ht="15.75" customHeight="1">
      <c r="A307" s="101"/>
      <c r="B307" s="38"/>
      <c r="C307" s="37"/>
      <c r="D307" s="166"/>
      <c r="E307" s="166"/>
      <c r="F307" s="166"/>
      <c r="G307" s="166"/>
      <c r="H307" s="176"/>
      <c r="I307" s="166"/>
    </row>
    <row r="308" spans="1:9" ht="51" customHeight="1">
      <c r="A308" s="86" t="s">
        <v>436</v>
      </c>
      <c r="B308" s="22" t="s">
        <v>201</v>
      </c>
      <c r="C308" s="22" t="s">
        <v>126</v>
      </c>
      <c r="D308" s="166">
        <f>5087*1.04*1.05*1.05</f>
        <v>5832.7542000000012</v>
      </c>
      <c r="E308" s="166">
        <f>154*1.04*1.05*1.05</f>
        <v>176.57640000000001</v>
      </c>
      <c r="F308" s="166"/>
      <c r="G308" s="166"/>
      <c r="H308" s="176"/>
      <c r="I308" s="166">
        <f>D308-E308+F308+G308+H308</f>
        <v>5656.1778000000013</v>
      </c>
    </row>
    <row r="309" spans="1:9" ht="51" customHeight="1">
      <c r="A309" s="86" t="s">
        <v>237</v>
      </c>
      <c r="B309" s="22" t="s">
        <v>201</v>
      </c>
      <c r="C309" s="22" t="s">
        <v>126</v>
      </c>
      <c r="D309" s="166">
        <f>5087*1.04*1.05*1.05</f>
        <v>5832.7542000000012</v>
      </c>
      <c r="E309" s="166">
        <f>154*1.04*1.05*1.05</f>
        <v>176.57640000000001</v>
      </c>
      <c r="F309" s="166"/>
      <c r="G309" s="166"/>
      <c r="H309" s="176"/>
      <c r="I309" s="166">
        <f>D309-E309+F309+G309+H309</f>
        <v>5656.1778000000013</v>
      </c>
    </row>
    <row r="310" spans="1:9" ht="51" customHeight="1">
      <c r="A310" s="60" t="s">
        <v>255</v>
      </c>
      <c r="B310" s="38" t="s">
        <v>201</v>
      </c>
      <c r="C310" s="38" t="s">
        <v>254</v>
      </c>
      <c r="D310" s="166">
        <f>4058*1.04*1.05*1.05</f>
        <v>4652.9028000000008</v>
      </c>
      <c r="E310" s="166"/>
      <c r="F310" s="166">
        <v>95</v>
      </c>
      <c r="G310" s="166"/>
      <c r="H310" s="176"/>
      <c r="I310" s="166">
        <f t="shared" ref="I310:I314" si="56">D310-E310+F310+G310+H310</f>
        <v>4747.9028000000008</v>
      </c>
    </row>
    <row r="311" spans="1:9" ht="51" customHeight="1">
      <c r="A311" s="60" t="s">
        <v>274</v>
      </c>
      <c r="B311" s="38" t="s">
        <v>201</v>
      </c>
      <c r="C311" s="37" t="s">
        <v>254</v>
      </c>
      <c r="D311" s="166">
        <f>4058*1.04*1.05*1.05</f>
        <v>4652.9028000000008</v>
      </c>
      <c r="E311" s="166"/>
      <c r="F311" s="166">
        <v>95</v>
      </c>
      <c r="G311" s="166"/>
      <c r="H311" s="176"/>
      <c r="I311" s="166">
        <f t="shared" si="56"/>
        <v>4747.9028000000008</v>
      </c>
    </row>
    <row r="312" spans="1:9" ht="51" customHeight="1">
      <c r="A312" s="70" t="s">
        <v>57</v>
      </c>
      <c r="B312" s="35" t="s">
        <v>201</v>
      </c>
      <c r="C312" s="37" t="s">
        <v>254</v>
      </c>
      <c r="D312" s="166">
        <f>5545*1.05*1.05*1.05</f>
        <v>6419.0306250000003</v>
      </c>
      <c r="E312" s="166">
        <f>99*1.05*1.05*1.05</f>
        <v>114.60487500000001</v>
      </c>
      <c r="F312" s="180"/>
      <c r="G312" s="181">
        <v>126</v>
      </c>
      <c r="H312" s="176"/>
      <c r="I312" s="166">
        <f t="shared" si="56"/>
        <v>6430.4257500000003</v>
      </c>
    </row>
    <row r="313" spans="1:9" s="294" customFormat="1" ht="51" customHeight="1">
      <c r="A313" s="80" t="s">
        <v>424</v>
      </c>
      <c r="B313" s="43" t="s">
        <v>201</v>
      </c>
      <c r="C313" s="37" t="s">
        <v>254</v>
      </c>
      <c r="D313" s="309">
        <f>6498*1.05*1.05*1.05</f>
        <v>7522.2472500000013</v>
      </c>
      <c r="E313" s="309">
        <f>220*1.05*1.05*1.05</f>
        <v>254.67750000000001</v>
      </c>
      <c r="F313" s="309"/>
      <c r="G313" s="293">
        <v>175</v>
      </c>
      <c r="H313" s="176"/>
      <c r="I313" s="166">
        <f t="shared" si="56"/>
        <v>7442.5697500000015</v>
      </c>
    </row>
    <row r="314" spans="1:9" ht="51" customHeight="1" thickBot="1">
      <c r="A314" s="60" t="s">
        <v>341</v>
      </c>
      <c r="B314" s="38" t="s">
        <v>201</v>
      </c>
      <c r="C314" s="37" t="s">
        <v>342</v>
      </c>
      <c r="D314" s="269">
        <f>4058*1.04*1.05*1.05</f>
        <v>4652.9028000000008</v>
      </c>
      <c r="E314" s="269"/>
      <c r="F314" s="269">
        <v>95</v>
      </c>
      <c r="G314" s="266"/>
      <c r="H314" s="369"/>
      <c r="I314" s="266">
        <f t="shared" si="56"/>
        <v>4747.9028000000008</v>
      </c>
    </row>
    <row r="315" spans="1:9" s="4" customFormat="1" ht="25.5" customHeight="1" thickTop="1" thickBot="1">
      <c r="A315" s="58"/>
      <c r="B315" s="157"/>
      <c r="C315" s="53" t="s">
        <v>6</v>
      </c>
      <c r="D315" s="176">
        <f t="shared" ref="D315:I315" si="57">SUM(D308:D314)</f>
        <v>39565.494675000009</v>
      </c>
      <c r="E315" s="176">
        <f t="shared" si="57"/>
        <v>722.43517500000007</v>
      </c>
      <c r="F315" s="176">
        <f t="shared" si="57"/>
        <v>285</v>
      </c>
      <c r="G315" s="176">
        <f t="shared" si="57"/>
        <v>301</v>
      </c>
      <c r="H315" s="176">
        <f t="shared" si="57"/>
        <v>0</v>
      </c>
      <c r="I315" s="176">
        <f t="shared" si="57"/>
        <v>39429.05950000001</v>
      </c>
    </row>
    <row r="316" spans="1:9" s="4" customFormat="1" ht="25.5" customHeight="1" thickBot="1">
      <c r="A316" s="58"/>
      <c r="B316" s="107"/>
      <c r="C316" s="169" t="s">
        <v>206</v>
      </c>
      <c r="D316" s="185">
        <f>D315-[3]MADRE!$H$398</f>
        <v>0</v>
      </c>
      <c r="E316" s="185">
        <f>E315-[1]MADRE!$I$399</f>
        <v>0</v>
      </c>
      <c r="F316" s="185">
        <f>F315-[3]MADRE!$J$398</f>
        <v>0</v>
      </c>
      <c r="G316" s="185">
        <f>G315-[26]MADRE!$K$406</f>
        <v>0</v>
      </c>
      <c r="H316" s="185">
        <f>H315-[3]MADRE!$L$398</f>
        <v>0</v>
      </c>
      <c r="I316" s="185">
        <f>I315-[3]MADRE!$M$398</f>
        <v>0</v>
      </c>
    </row>
    <row r="317" spans="1:9" ht="15" customHeight="1">
      <c r="A317" s="25" t="s">
        <v>193</v>
      </c>
      <c r="B317" s="106"/>
      <c r="C317" s="28"/>
      <c r="D317" s="28"/>
      <c r="E317" s="28"/>
      <c r="F317" s="28"/>
      <c r="G317" s="28"/>
      <c r="H317" s="364"/>
      <c r="I317" s="28"/>
    </row>
    <row r="318" spans="1:9" ht="51" customHeight="1">
      <c r="A318" s="102" t="s">
        <v>471</v>
      </c>
      <c r="B318" s="112" t="s">
        <v>200</v>
      </c>
      <c r="C318" s="33" t="s">
        <v>472</v>
      </c>
      <c r="D318" s="174">
        <f>6691*1.04*1.05*1.05</f>
        <v>7671.9006000000018</v>
      </c>
      <c r="E318" s="171">
        <f>240.24*1.05</f>
        <v>252.25200000000001</v>
      </c>
      <c r="F318" s="188"/>
      <c r="G318" s="188"/>
      <c r="H318" s="368"/>
      <c r="I318" s="188">
        <f>D318-E318+F318+G318+H318</f>
        <v>7419.6486000000014</v>
      </c>
    </row>
    <row r="319" spans="1:9" ht="40.5" customHeight="1">
      <c r="A319" s="88" t="s">
        <v>102</v>
      </c>
      <c r="B319" s="51" t="s">
        <v>200</v>
      </c>
      <c r="C319" s="127" t="s">
        <v>246</v>
      </c>
      <c r="D319" s="166">
        <f>3913*1.05*1.05*1.05</f>
        <v>4529.7866250000006</v>
      </c>
      <c r="E319" s="166"/>
      <c r="F319" s="166">
        <v>120</v>
      </c>
      <c r="G319" s="166"/>
      <c r="H319" s="368"/>
      <c r="I319" s="166">
        <f>D319-E319+F319+H319</f>
        <v>4649.7866250000006</v>
      </c>
    </row>
    <row r="320" spans="1:9" ht="40.5" customHeight="1" thickBot="1">
      <c r="A320" s="60" t="s">
        <v>243</v>
      </c>
      <c r="B320" s="22" t="s">
        <v>200</v>
      </c>
      <c r="C320" s="23" t="s">
        <v>244</v>
      </c>
      <c r="D320" s="266">
        <f>3241*1.05*1.05*1.05</f>
        <v>3751.8626250000007</v>
      </c>
      <c r="E320" s="266"/>
      <c r="F320" s="266">
        <v>95</v>
      </c>
      <c r="G320" s="269"/>
      <c r="H320" s="269"/>
      <c r="I320" s="269">
        <f>D320-E320+F320+H320</f>
        <v>3846.8626250000007</v>
      </c>
    </row>
    <row r="321" spans="1:9" ht="25.5" customHeight="1" thickTop="1" thickBot="1">
      <c r="A321" s="56"/>
      <c r="B321" s="38"/>
      <c r="C321" s="53" t="s">
        <v>6</v>
      </c>
      <c r="D321" s="168">
        <f>SUM(D318:D320)</f>
        <v>15953.549850000003</v>
      </c>
      <c r="E321" s="168">
        <f>SUM(E318:E320)</f>
        <v>252.25200000000001</v>
      </c>
      <c r="F321" s="168">
        <f>SUM(F318:F320)</f>
        <v>215</v>
      </c>
      <c r="G321" s="168">
        <f t="shared" ref="G321:H321" si="58">SUM(G318:G320)</f>
        <v>0</v>
      </c>
      <c r="H321" s="168">
        <f t="shared" si="58"/>
        <v>0</v>
      </c>
      <c r="I321" s="168">
        <f>SUM(I318:I320)</f>
        <v>15916.297850000003</v>
      </c>
    </row>
    <row r="322" spans="1:9" ht="25.5" customHeight="1" thickBot="1">
      <c r="A322" s="56"/>
      <c r="B322" s="107"/>
      <c r="C322" s="169" t="s">
        <v>206</v>
      </c>
      <c r="D322" s="170">
        <f>D321-[1]MADRE!$H$408</f>
        <v>0</v>
      </c>
      <c r="E322" s="170">
        <f>E321-[1]MADRE!$I$408</f>
        <v>0</v>
      </c>
      <c r="F322" s="170">
        <f>F321-[27]MADRE!$J$417</f>
        <v>0</v>
      </c>
      <c r="G322" s="170">
        <f>G321-[27]MADRE!$K$417</f>
        <v>0</v>
      </c>
      <c r="H322" s="170">
        <f>H321-[3]MADRE!$L$407</f>
        <v>0</v>
      </c>
      <c r="I322" s="170">
        <f>I321-[3]MADRE!$M$407</f>
        <v>0</v>
      </c>
    </row>
    <row r="323" spans="1:9" ht="15" customHeight="1">
      <c r="A323" s="25" t="s">
        <v>194</v>
      </c>
      <c r="B323" s="106"/>
      <c r="C323" s="28"/>
      <c r="D323" s="28"/>
      <c r="E323" s="28"/>
      <c r="F323" s="28"/>
      <c r="G323" s="28"/>
      <c r="H323" s="364"/>
      <c r="I323" s="28"/>
    </row>
    <row r="324" spans="1:9" ht="51" customHeight="1">
      <c r="A324" s="102" t="s">
        <v>420</v>
      </c>
      <c r="B324" s="112" t="s">
        <v>200</v>
      </c>
      <c r="C324" s="33" t="s">
        <v>421</v>
      </c>
      <c r="D324" s="174">
        <f>6691*1.04*1.05*1.05</f>
        <v>7671.9006000000018</v>
      </c>
      <c r="E324" s="171">
        <f>240.24*1.05</f>
        <v>252.25200000000001</v>
      </c>
      <c r="F324" s="188"/>
      <c r="G324" s="188"/>
      <c r="H324" s="368"/>
      <c r="I324" s="188">
        <f>D324-E324+F324+G324+H324</f>
        <v>7419.6486000000014</v>
      </c>
    </row>
    <row r="325" spans="1:9" ht="51" customHeight="1">
      <c r="A325" s="78" t="s">
        <v>131</v>
      </c>
      <c r="B325" s="35" t="s">
        <v>200</v>
      </c>
      <c r="C325" s="116" t="s">
        <v>127</v>
      </c>
      <c r="D325" s="166">
        <f>4349*1.04*1.05*1.05</f>
        <v>4986.5634</v>
      </c>
      <c r="E325" s="167"/>
      <c r="F325" s="180">
        <v>90</v>
      </c>
      <c r="G325" s="180"/>
      <c r="H325" s="368"/>
      <c r="I325" s="180">
        <f>D325-E325+F325+H325</f>
        <v>5076.5634</v>
      </c>
    </row>
    <row r="326" spans="1:9" ht="51" customHeight="1">
      <c r="A326" s="85" t="s">
        <v>132</v>
      </c>
      <c r="B326" s="310" t="s">
        <v>200</v>
      </c>
      <c r="C326" s="23" t="s">
        <v>128</v>
      </c>
      <c r="D326" s="166">
        <f>5446*1.04*1.05*1.05</f>
        <v>6244.3836000000001</v>
      </c>
      <c r="E326" s="167">
        <f>270*1.04*1.05*1.05</f>
        <v>309.58200000000005</v>
      </c>
      <c r="F326" s="183"/>
      <c r="G326" s="182"/>
      <c r="H326" s="368"/>
      <c r="I326" s="180">
        <f>D326-E326+F326+H326</f>
        <v>5934.8015999999998</v>
      </c>
    </row>
    <row r="327" spans="1:9" ht="51" customHeight="1">
      <c r="A327" s="89" t="s">
        <v>133</v>
      </c>
      <c r="B327" s="35" t="s">
        <v>200</v>
      </c>
      <c r="C327" s="125" t="s">
        <v>90</v>
      </c>
      <c r="D327" s="166">
        <f>4614*1.05</f>
        <v>4844.7</v>
      </c>
      <c r="E327" s="166"/>
      <c r="F327" s="166">
        <v>120</v>
      </c>
      <c r="G327" s="166"/>
      <c r="H327" s="368"/>
      <c r="I327" s="180">
        <f>D327-E327+F327+H327</f>
        <v>4964.7</v>
      </c>
    </row>
    <row r="328" spans="1:9" ht="51" customHeight="1">
      <c r="A328" s="89" t="s">
        <v>135</v>
      </c>
      <c r="B328" s="43" t="s">
        <v>200</v>
      </c>
      <c r="C328" s="160" t="s">
        <v>105</v>
      </c>
      <c r="D328" s="166">
        <f>4432*1.05*1.05*1.05</f>
        <v>5130.594000000001</v>
      </c>
      <c r="E328" s="167"/>
      <c r="F328" s="167">
        <v>90</v>
      </c>
      <c r="G328" s="167"/>
      <c r="H328" s="368"/>
      <c r="I328" s="180">
        <f>D328-E328+F328+H328</f>
        <v>5220.594000000001</v>
      </c>
    </row>
    <row r="329" spans="1:9" ht="51" customHeight="1">
      <c r="A329" s="89" t="s">
        <v>136</v>
      </c>
      <c r="B329" s="43" t="s">
        <v>200</v>
      </c>
      <c r="C329" s="23" t="s">
        <v>115</v>
      </c>
      <c r="D329" s="166">
        <f>3819*1.05*1.05*1.05</f>
        <v>4420.9698750000007</v>
      </c>
      <c r="E329" s="166"/>
      <c r="F329" s="166">
        <v>129</v>
      </c>
      <c r="G329" s="166"/>
      <c r="H329" s="368"/>
      <c r="I329" s="180">
        <f t="shared" ref="I329:I331" si="59">D329-E329+F329+H329</f>
        <v>4549.9698750000007</v>
      </c>
    </row>
    <row r="330" spans="1:9" ht="51" customHeight="1">
      <c r="A330" s="62" t="s">
        <v>207</v>
      </c>
      <c r="B330" s="38" t="s">
        <v>200</v>
      </c>
      <c r="C330" s="23" t="s">
        <v>90</v>
      </c>
      <c r="D330" s="167">
        <f>4614*1.05</f>
        <v>4844.7</v>
      </c>
      <c r="E330" s="167"/>
      <c r="F330" s="167">
        <v>120</v>
      </c>
      <c r="G330" s="167"/>
      <c r="H330" s="368"/>
      <c r="I330" s="180">
        <f t="shared" si="59"/>
        <v>4964.7</v>
      </c>
    </row>
    <row r="331" spans="1:9" ht="51" customHeight="1" thickBot="1">
      <c r="A331" s="93" t="s">
        <v>234</v>
      </c>
      <c r="B331" s="38" t="s">
        <v>200</v>
      </c>
      <c r="C331" s="23" t="s">
        <v>235</v>
      </c>
      <c r="D331" s="166">
        <f>4614*1.05</f>
        <v>4844.7</v>
      </c>
      <c r="E331" s="166"/>
      <c r="F331" s="166">
        <v>120</v>
      </c>
      <c r="G331" s="166"/>
      <c r="H331" s="368"/>
      <c r="I331" s="180">
        <f t="shared" si="59"/>
        <v>4964.7</v>
      </c>
    </row>
    <row r="332" spans="1:9" ht="25.5" customHeight="1" thickTop="1" thickBot="1">
      <c r="B332" s="158"/>
      <c r="C332" s="245" t="s">
        <v>6</v>
      </c>
      <c r="D332" s="175">
        <f t="shared" ref="D332:H332" si="60">SUM(D324:D331)</f>
        <v>42988.511474999999</v>
      </c>
      <c r="E332" s="175">
        <f t="shared" si="60"/>
        <v>561.83400000000006</v>
      </c>
      <c r="F332" s="175">
        <f t="shared" si="60"/>
        <v>669</v>
      </c>
      <c r="G332" s="175">
        <f t="shared" si="60"/>
        <v>0</v>
      </c>
      <c r="H332" s="175">
        <f t="shared" si="60"/>
        <v>0</v>
      </c>
      <c r="I332" s="175">
        <f>SUM(I324:I331)</f>
        <v>43095.677474999997</v>
      </c>
    </row>
    <row r="333" spans="1:9" ht="25.5" customHeight="1" thickBot="1">
      <c r="B333" s="107"/>
      <c r="C333" s="169" t="s">
        <v>206</v>
      </c>
      <c r="D333" s="170">
        <f>D332-[15]MADRE!$H$421</f>
        <v>0</v>
      </c>
      <c r="E333" s="170">
        <f>E332-[1]MADRE!$I$423</f>
        <v>0</v>
      </c>
      <c r="F333" s="170">
        <f>F332-[15]MADRE!$J$421</f>
        <v>0</v>
      </c>
      <c r="G333" s="170">
        <f>G332-[2]MADRE!K$436</f>
        <v>0</v>
      </c>
      <c r="H333" s="170">
        <f>H332-[3]MADRE!$L$421</f>
        <v>0</v>
      </c>
      <c r="I333" s="170">
        <f>I332-[3]MADRE!$M$421</f>
        <v>0</v>
      </c>
    </row>
    <row r="334" spans="1:9" ht="15" customHeight="1">
      <c r="A334" s="25" t="s">
        <v>195</v>
      </c>
      <c r="B334" s="106"/>
      <c r="C334" s="28"/>
      <c r="D334" s="28"/>
      <c r="E334" s="28"/>
      <c r="F334" s="28"/>
      <c r="G334" s="28"/>
      <c r="H334" s="364"/>
      <c r="I334" s="28"/>
    </row>
    <row r="335" spans="1:9" ht="40.5" customHeight="1">
      <c r="A335" s="61" t="s">
        <v>344</v>
      </c>
      <c r="B335" s="44" t="s">
        <v>200</v>
      </c>
      <c r="C335" s="33" t="s">
        <v>369</v>
      </c>
      <c r="D335" s="174">
        <f>6691*1.04*1.05*1.05</f>
        <v>7671.9006000000018</v>
      </c>
      <c r="E335" s="171">
        <f>220*1.04*1.05*1.05</f>
        <v>252.25200000000001</v>
      </c>
      <c r="F335" s="171"/>
      <c r="G335" s="171"/>
      <c r="H335" s="168"/>
      <c r="I335" s="171">
        <f>D335-E335+F335+G335+H335</f>
        <v>7419.6486000000014</v>
      </c>
    </row>
    <row r="336" spans="1:9" ht="40.5" customHeight="1">
      <c r="A336" s="62" t="s">
        <v>147</v>
      </c>
      <c r="B336" s="141" t="s">
        <v>200</v>
      </c>
      <c r="C336" s="23" t="s">
        <v>375</v>
      </c>
      <c r="D336" s="166">
        <f>6140*1.04*1.05*1.05</f>
        <v>7040.1240000000016</v>
      </c>
      <c r="E336" s="167">
        <f>183*1.04*1.05*1.05</f>
        <v>209.82780000000002</v>
      </c>
      <c r="F336" s="167"/>
      <c r="G336" s="167"/>
      <c r="H336" s="168"/>
      <c r="I336" s="167">
        <f>D336-E336+F336+G336+H336</f>
        <v>6830.2962000000016</v>
      </c>
    </row>
    <row r="337" spans="1:9" ht="40.5" customHeight="1">
      <c r="A337" s="62" t="s">
        <v>212</v>
      </c>
      <c r="B337" s="143" t="s">
        <v>200</v>
      </c>
      <c r="C337" s="23" t="s">
        <v>90</v>
      </c>
      <c r="D337" s="166">
        <f>3931.2*1.05</f>
        <v>4127.76</v>
      </c>
      <c r="E337" s="167"/>
      <c r="F337" s="167">
        <v>130</v>
      </c>
      <c r="G337" s="167"/>
      <c r="H337" s="168"/>
      <c r="I337" s="167">
        <f>D337-E337+F337+G337+H337</f>
        <v>4257.76</v>
      </c>
    </row>
    <row r="338" spans="1:9" ht="40.5" customHeight="1">
      <c r="A338" s="62" t="s">
        <v>138</v>
      </c>
      <c r="B338" s="143" t="s">
        <v>200</v>
      </c>
      <c r="C338" s="246" t="s">
        <v>90</v>
      </c>
      <c r="D338" s="166">
        <f>3543*1.05*1.05*1.05</f>
        <v>4101.4653750000007</v>
      </c>
      <c r="E338" s="167"/>
      <c r="F338" s="203">
        <v>130</v>
      </c>
      <c r="G338" s="203"/>
      <c r="H338" s="168"/>
      <c r="I338" s="167">
        <f t="shared" ref="I338:I343" si="61">D338-E338+F338+G338+H338</f>
        <v>4231.4653750000007</v>
      </c>
    </row>
    <row r="339" spans="1:9" ht="40.5" customHeight="1">
      <c r="A339" s="62" t="s">
        <v>140</v>
      </c>
      <c r="B339" s="160" t="s">
        <v>200</v>
      </c>
      <c r="C339" s="23" t="s">
        <v>129</v>
      </c>
      <c r="D339" s="166">
        <f>4067*1.05*1.05*1.05</f>
        <v>4708.0608750000001</v>
      </c>
      <c r="E339" s="167"/>
      <c r="F339" s="167">
        <v>110</v>
      </c>
      <c r="G339" s="167"/>
      <c r="H339" s="168"/>
      <c r="I339" s="167">
        <f t="shared" si="61"/>
        <v>4818.0608750000001</v>
      </c>
    </row>
    <row r="340" spans="1:9" ht="40.5" customHeight="1">
      <c r="A340" s="60" t="s">
        <v>148</v>
      </c>
      <c r="B340" s="159" t="s">
        <v>200</v>
      </c>
      <c r="C340" s="37" t="s">
        <v>130</v>
      </c>
      <c r="D340" s="166">
        <f>4013*1.05*1.05*1.05</f>
        <v>4645.5491250000005</v>
      </c>
      <c r="E340" s="166"/>
      <c r="F340" s="166">
        <v>110</v>
      </c>
      <c r="G340" s="166"/>
      <c r="H340" s="168"/>
      <c r="I340" s="167">
        <f t="shared" si="61"/>
        <v>4755.5491250000005</v>
      </c>
    </row>
    <row r="341" spans="1:9" ht="50.25" customHeight="1">
      <c r="A341" s="60" t="s">
        <v>214</v>
      </c>
      <c r="B341" s="37" t="s">
        <v>200</v>
      </c>
      <c r="C341" s="159" t="s">
        <v>215</v>
      </c>
      <c r="D341" s="166">
        <f>2347*1.05*1.05*1.05</f>
        <v>2716.9458750000003</v>
      </c>
      <c r="E341" s="166"/>
      <c r="F341" s="166">
        <v>150</v>
      </c>
      <c r="G341" s="166"/>
      <c r="H341" s="168"/>
      <c r="I341" s="167">
        <f t="shared" si="61"/>
        <v>2866.9458750000003</v>
      </c>
    </row>
    <row r="342" spans="1:9" ht="50.25" customHeight="1">
      <c r="A342" s="60" t="s">
        <v>416</v>
      </c>
      <c r="B342" s="37" t="s">
        <v>200</v>
      </c>
      <c r="C342" s="37" t="s">
        <v>105</v>
      </c>
      <c r="D342" s="166">
        <f>3587.85*1.05*1.05</f>
        <v>3955.6046250000004</v>
      </c>
      <c r="E342" s="166"/>
      <c r="F342" s="166"/>
      <c r="G342" s="166"/>
      <c r="H342" s="168"/>
      <c r="I342" s="167">
        <f t="shared" si="61"/>
        <v>3955.6046250000004</v>
      </c>
    </row>
    <row r="343" spans="1:9" ht="40.5" customHeight="1" thickBot="1">
      <c r="A343" s="62" t="s">
        <v>213</v>
      </c>
      <c r="B343" s="37" t="s">
        <v>200</v>
      </c>
      <c r="C343" s="23" t="s">
        <v>83</v>
      </c>
      <c r="D343" s="166">
        <f>3670.22*1.05</f>
        <v>3853.7309999999998</v>
      </c>
      <c r="E343" s="166"/>
      <c r="F343" s="166">
        <v>140</v>
      </c>
      <c r="G343" s="166"/>
      <c r="H343" s="168"/>
      <c r="I343" s="167">
        <f t="shared" si="61"/>
        <v>3993.7309999999998</v>
      </c>
    </row>
    <row r="344" spans="1:9" ht="25.5" customHeight="1" thickTop="1" thickBot="1">
      <c r="A344" s="62"/>
      <c r="B344" s="38"/>
      <c r="C344" s="245" t="s">
        <v>6</v>
      </c>
      <c r="D344" s="175">
        <f t="shared" ref="D344:H344" si="62">SUM(D335:D343)</f>
        <v>42821.141475000004</v>
      </c>
      <c r="E344" s="175">
        <f t="shared" si="62"/>
        <v>462.07980000000003</v>
      </c>
      <c r="F344" s="175">
        <f t="shared" si="62"/>
        <v>770</v>
      </c>
      <c r="G344" s="175">
        <f t="shared" si="62"/>
        <v>0</v>
      </c>
      <c r="H344" s="175">
        <f t="shared" si="62"/>
        <v>0</v>
      </c>
      <c r="I344" s="175">
        <f>SUM(I335:I343)</f>
        <v>43129.061675000004</v>
      </c>
    </row>
    <row r="345" spans="1:9" ht="25.5" customHeight="1" thickBot="1">
      <c r="A345" s="62"/>
      <c r="B345" s="107"/>
      <c r="C345" s="169" t="s">
        <v>206</v>
      </c>
      <c r="D345" s="170">
        <f>D344-[1]MADRE!$H$438</f>
        <v>0</v>
      </c>
      <c r="E345" s="170">
        <f>E344-[1]MADRE!$I$438</f>
        <v>0</v>
      </c>
      <c r="F345" s="170">
        <f>F344-[28]MADRE!$J$447</f>
        <v>0</v>
      </c>
      <c r="G345" s="170">
        <f>G344-[2]MADRE!K$452</f>
        <v>0</v>
      </c>
      <c r="H345" s="170">
        <f>H344-[3]MADRE!$L$436</f>
        <v>0</v>
      </c>
      <c r="I345" s="170">
        <f>I344-[3]MADRE!$M$436</f>
        <v>0</v>
      </c>
    </row>
    <row r="346" spans="1:9" ht="15" customHeight="1">
      <c r="A346" s="57" t="s">
        <v>196</v>
      </c>
      <c r="B346" s="138"/>
      <c r="C346" s="42"/>
      <c r="D346" s="42"/>
      <c r="E346" s="42"/>
      <c r="F346" s="42"/>
      <c r="G346" s="42"/>
      <c r="H346" s="247"/>
      <c r="I346" s="42"/>
    </row>
    <row r="347" spans="1:9" ht="44.25" customHeight="1">
      <c r="A347" s="103" t="s">
        <v>382</v>
      </c>
      <c r="B347" s="160" t="s">
        <v>200</v>
      </c>
      <c r="C347" s="37" t="s">
        <v>383</v>
      </c>
      <c r="D347" s="166">
        <f>3500*1.04*1.05*1.05</f>
        <v>4013.1000000000004</v>
      </c>
      <c r="E347" s="247"/>
      <c r="F347" s="247"/>
      <c r="G347" s="247"/>
      <c r="H347" s="360"/>
      <c r="I347" s="167">
        <f>D347+H347</f>
        <v>4013.1000000000004</v>
      </c>
    </row>
    <row r="348" spans="1:9" ht="48" customHeight="1" thickBot="1">
      <c r="A348" s="60" t="s">
        <v>222</v>
      </c>
      <c r="B348" s="160" t="s">
        <v>200</v>
      </c>
      <c r="C348" s="37" t="s">
        <v>249</v>
      </c>
      <c r="D348" s="166">
        <f>2915*1.05*1.05*1.05</f>
        <v>3374.4768749999998</v>
      </c>
      <c r="E348" s="166"/>
      <c r="F348" s="166">
        <v>155</v>
      </c>
      <c r="G348" s="166"/>
      <c r="H348" s="360"/>
      <c r="I348" s="167">
        <f>D348-E348+F348+H348</f>
        <v>3529.4768749999998</v>
      </c>
    </row>
    <row r="349" spans="1:9" ht="25.5" customHeight="1" thickTop="1" thickBot="1">
      <c r="B349" s="38"/>
      <c r="C349" s="53" t="s">
        <v>6</v>
      </c>
      <c r="D349" s="175">
        <f t="shared" ref="D349:H349" si="63">SUM(D347:D348)</f>
        <v>7387.5768750000007</v>
      </c>
      <c r="E349" s="175">
        <f t="shared" si="63"/>
        <v>0</v>
      </c>
      <c r="F349" s="175">
        <f t="shared" si="63"/>
        <v>155</v>
      </c>
      <c r="G349" s="175">
        <f t="shared" si="63"/>
        <v>0</v>
      </c>
      <c r="H349" s="175">
        <f t="shared" si="63"/>
        <v>0</v>
      </c>
      <c r="I349" s="175">
        <f>SUM(I347:I348)</f>
        <v>7542.5768750000007</v>
      </c>
    </row>
    <row r="350" spans="1:9" ht="25.5" customHeight="1" thickBot="1">
      <c r="B350" s="107"/>
      <c r="C350" s="169" t="s">
        <v>206</v>
      </c>
      <c r="D350" s="170">
        <f>D349-[1]MADRE!$H$443</f>
        <v>0</v>
      </c>
      <c r="E350" s="170">
        <f>E349-[2]MADRE!I$456</f>
        <v>0</v>
      </c>
      <c r="F350" s="170">
        <f>F349-[2]MADRE!J$456</f>
        <v>0</v>
      </c>
      <c r="G350" s="170">
        <f>G349-[2]MADRE!K$456</f>
        <v>0</v>
      </c>
      <c r="H350" s="170">
        <f>H349-[3]MADRE!$L$442</f>
        <v>0</v>
      </c>
      <c r="I350" s="170">
        <f>I349-[3]MADRE!$M$441</f>
        <v>0</v>
      </c>
    </row>
    <row r="351" spans="1:9" ht="15" customHeight="1">
      <c r="A351" s="25" t="s">
        <v>145</v>
      </c>
      <c r="B351" s="106"/>
      <c r="C351" s="28"/>
      <c r="D351" s="28"/>
      <c r="E351" s="28"/>
      <c r="F351" s="28"/>
      <c r="G351" s="28"/>
      <c r="H351" s="364"/>
      <c r="I351" s="28"/>
    </row>
    <row r="352" spans="1:9" ht="51" customHeight="1">
      <c r="A352" s="62" t="s">
        <v>150</v>
      </c>
      <c r="B352" s="38" t="s">
        <v>200</v>
      </c>
      <c r="C352" s="22" t="s">
        <v>149</v>
      </c>
      <c r="D352" s="167">
        <f>1548*1.04*1.05*1.05</f>
        <v>1774.9368000000002</v>
      </c>
      <c r="E352" s="167"/>
      <c r="F352" s="167">
        <v>175</v>
      </c>
      <c r="G352" s="168"/>
      <c r="H352" s="168"/>
      <c r="I352" s="166">
        <f>D352+F352+H352</f>
        <v>1949.9368000000002</v>
      </c>
    </row>
    <row r="353" spans="1:9" ht="51" customHeight="1">
      <c r="A353" s="62" t="s">
        <v>151</v>
      </c>
      <c r="B353" s="38" t="s">
        <v>200</v>
      </c>
      <c r="C353" s="22" t="s">
        <v>149</v>
      </c>
      <c r="D353" s="167">
        <f>1548*1.04*1.05*1.05</f>
        <v>1774.9368000000002</v>
      </c>
      <c r="E353" s="167"/>
      <c r="F353" s="167">
        <v>175</v>
      </c>
      <c r="G353" s="168"/>
      <c r="H353" s="168"/>
      <c r="I353" s="166">
        <f>D353+F353+H353</f>
        <v>1949.9368000000002</v>
      </c>
    </row>
    <row r="354" spans="1:9" ht="51" customHeight="1">
      <c r="A354" s="62" t="s">
        <v>152</v>
      </c>
      <c r="B354" s="38" t="s">
        <v>200</v>
      </c>
      <c r="C354" s="22" t="s">
        <v>149</v>
      </c>
      <c r="D354" s="167">
        <f>2055*1.04*1.05*1.05</f>
        <v>2356.2630000000004</v>
      </c>
      <c r="E354" s="167"/>
      <c r="F354" s="167">
        <v>167</v>
      </c>
      <c r="G354" s="168"/>
      <c r="H354" s="168"/>
      <c r="I354" s="166">
        <f t="shared" ref="I354:I392" si="64">D354+F354+H354</f>
        <v>2523.2630000000004</v>
      </c>
    </row>
    <row r="355" spans="1:9" ht="51" customHeight="1">
      <c r="A355" s="62" t="s">
        <v>153</v>
      </c>
      <c r="B355" s="38" t="s">
        <v>200</v>
      </c>
      <c r="C355" s="22" t="s">
        <v>149</v>
      </c>
      <c r="D355" s="167">
        <f>3114*1.04*1.05*1.05</f>
        <v>3570.5124000000005</v>
      </c>
      <c r="E355" s="167"/>
      <c r="F355" s="167">
        <v>142</v>
      </c>
      <c r="G355" s="168"/>
      <c r="H355" s="168"/>
      <c r="I355" s="166">
        <f t="shared" si="64"/>
        <v>3712.5124000000005</v>
      </c>
    </row>
    <row r="356" spans="1:9" ht="51" customHeight="1">
      <c r="A356" s="62" t="s">
        <v>154</v>
      </c>
      <c r="B356" s="38" t="s">
        <v>200</v>
      </c>
      <c r="C356" s="22" t="s">
        <v>149</v>
      </c>
      <c r="D356" s="167">
        <f>1377*1.04*1.05*1.05</f>
        <v>1578.8682000000003</v>
      </c>
      <c r="E356" s="167"/>
      <c r="F356" s="167">
        <v>175</v>
      </c>
      <c r="G356" s="168"/>
      <c r="H356" s="168"/>
      <c r="I356" s="166">
        <f t="shared" si="64"/>
        <v>1753.8682000000003</v>
      </c>
    </row>
    <row r="357" spans="1:9" ht="51" customHeight="1">
      <c r="A357" s="62" t="s">
        <v>155</v>
      </c>
      <c r="B357" s="38" t="s">
        <v>200</v>
      </c>
      <c r="C357" s="22" t="s">
        <v>149</v>
      </c>
      <c r="D357" s="167">
        <f>3616*1.04*1.05*1.05</f>
        <v>4146.1056000000008</v>
      </c>
      <c r="E357" s="167"/>
      <c r="F357" s="167">
        <v>129</v>
      </c>
      <c r="G357" s="168"/>
      <c r="H357" s="168"/>
      <c r="I357" s="166">
        <f t="shared" si="64"/>
        <v>4275.1056000000008</v>
      </c>
    </row>
    <row r="358" spans="1:9" ht="51" customHeight="1">
      <c r="A358" s="62" t="s">
        <v>156</v>
      </c>
      <c r="B358" s="38" t="s">
        <v>200</v>
      </c>
      <c r="C358" s="22" t="s">
        <v>149</v>
      </c>
      <c r="D358" s="167">
        <f>4415*1.04*1.05*1.05</f>
        <v>5062.2390000000005</v>
      </c>
      <c r="E358" s="167"/>
      <c r="F358" s="167">
        <v>90</v>
      </c>
      <c r="G358" s="168"/>
      <c r="H358" s="168"/>
      <c r="I358" s="166">
        <f t="shared" si="64"/>
        <v>5152.2390000000005</v>
      </c>
    </row>
    <row r="359" spans="1:9" ht="51" customHeight="1">
      <c r="A359" s="62" t="s">
        <v>157</v>
      </c>
      <c r="B359" s="143" t="s">
        <v>200</v>
      </c>
      <c r="C359" s="22" t="s">
        <v>149</v>
      </c>
      <c r="D359" s="167">
        <f>4946.24*1.05*1.05</f>
        <v>5453.2295999999997</v>
      </c>
      <c r="E359" s="167"/>
      <c r="F359" s="167">
        <v>90</v>
      </c>
      <c r="G359" s="168"/>
      <c r="H359" s="168"/>
      <c r="I359" s="166">
        <f t="shared" si="64"/>
        <v>5543.2295999999997</v>
      </c>
    </row>
    <row r="360" spans="1:9" ht="51" customHeight="1">
      <c r="A360" s="62" t="s">
        <v>158</v>
      </c>
      <c r="B360" s="143" t="s">
        <v>200</v>
      </c>
      <c r="C360" s="22" t="s">
        <v>149</v>
      </c>
      <c r="D360" s="167">
        <f>4415*1.04*1.05*1.05</f>
        <v>5062.2390000000005</v>
      </c>
      <c r="E360" s="167"/>
      <c r="F360" s="167">
        <v>90</v>
      </c>
      <c r="G360" s="168"/>
      <c r="H360" s="168"/>
      <c r="I360" s="166">
        <f t="shared" si="64"/>
        <v>5152.2390000000005</v>
      </c>
    </row>
    <row r="361" spans="1:9" ht="51" customHeight="1">
      <c r="A361" s="62" t="s">
        <v>159</v>
      </c>
      <c r="B361" s="325" t="s">
        <v>200</v>
      </c>
      <c r="C361" s="22" t="s">
        <v>149</v>
      </c>
      <c r="D361" s="167">
        <f>4415*1.04*1.05*1.05</f>
        <v>5062.2390000000005</v>
      </c>
      <c r="E361" s="167"/>
      <c r="F361" s="167">
        <v>90</v>
      </c>
      <c r="G361" s="168"/>
      <c r="H361" s="168"/>
      <c r="I361" s="166">
        <f t="shared" si="64"/>
        <v>5152.2390000000005</v>
      </c>
    </row>
    <row r="362" spans="1:9" ht="51" customHeight="1">
      <c r="A362" s="62" t="s">
        <v>160</v>
      </c>
      <c r="B362" s="143" t="s">
        <v>200</v>
      </c>
      <c r="C362" s="22" t="s">
        <v>149</v>
      </c>
      <c r="D362" s="167">
        <f>4415*1.04*1.05*1.05</f>
        <v>5062.2390000000005</v>
      </c>
      <c r="E362" s="167"/>
      <c r="F362" s="167">
        <v>90</v>
      </c>
      <c r="G362" s="168"/>
      <c r="H362" s="168"/>
      <c r="I362" s="166">
        <f t="shared" si="64"/>
        <v>5152.2390000000005</v>
      </c>
    </row>
    <row r="363" spans="1:9" ht="51" customHeight="1">
      <c r="A363" s="62" t="s">
        <v>161</v>
      </c>
      <c r="B363" s="143" t="s">
        <v>200</v>
      </c>
      <c r="C363" s="22" t="s">
        <v>149</v>
      </c>
      <c r="D363" s="167">
        <f>4067*1.04*1.05*1.05</f>
        <v>4663.2222000000011</v>
      </c>
      <c r="E363" s="167"/>
      <c r="F363" s="167">
        <v>111</v>
      </c>
      <c r="G363" s="168"/>
      <c r="H363" s="168"/>
      <c r="I363" s="166">
        <f t="shared" si="64"/>
        <v>4774.2222000000011</v>
      </c>
    </row>
    <row r="364" spans="1:9" ht="51" customHeight="1">
      <c r="A364" s="71" t="s">
        <v>162</v>
      </c>
      <c r="B364" s="36" t="s">
        <v>200</v>
      </c>
      <c r="C364" s="22" t="s">
        <v>149</v>
      </c>
      <c r="D364" s="167">
        <f>3026*1.04*1.05*1.05</f>
        <v>3469.6116000000006</v>
      </c>
      <c r="E364" s="167"/>
      <c r="F364" s="167">
        <v>142</v>
      </c>
      <c r="G364" s="167"/>
      <c r="H364" s="168"/>
      <c r="I364" s="166">
        <f t="shared" si="64"/>
        <v>3611.6116000000006</v>
      </c>
    </row>
    <row r="365" spans="1:9" ht="51" customHeight="1">
      <c r="A365" s="62" t="s">
        <v>163</v>
      </c>
      <c r="B365" s="43" t="s">
        <v>200</v>
      </c>
      <c r="C365" s="22" t="s">
        <v>149</v>
      </c>
      <c r="D365" s="167">
        <f>4415*1.04*1.05*1.05</f>
        <v>5062.2390000000005</v>
      </c>
      <c r="E365" s="167"/>
      <c r="F365" s="167">
        <v>90</v>
      </c>
      <c r="G365" s="167"/>
      <c r="H365" s="168"/>
      <c r="I365" s="166">
        <f t="shared" si="64"/>
        <v>5152.2390000000005</v>
      </c>
    </row>
    <row r="366" spans="1:9" ht="51" customHeight="1">
      <c r="A366" s="62" t="s">
        <v>164</v>
      </c>
      <c r="B366" s="35" t="s">
        <v>200</v>
      </c>
      <c r="C366" s="22" t="s">
        <v>149</v>
      </c>
      <c r="D366" s="167">
        <f>3742*1.04*1.05*1.05</f>
        <v>4290.5772000000006</v>
      </c>
      <c r="E366" s="167"/>
      <c r="F366" s="167">
        <v>129</v>
      </c>
      <c r="G366" s="167"/>
      <c r="H366" s="168"/>
      <c r="I366" s="166">
        <f t="shared" si="64"/>
        <v>4419.5772000000006</v>
      </c>
    </row>
    <row r="367" spans="1:9" ht="51" customHeight="1">
      <c r="A367" s="62" t="s">
        <v>119</v>
      </c>
      <c r="B367" s="43" t="s">
        <v>200</v>
      </c>
      <c r="C367" s="22" t="s">
        <v>149</v>
      </c>
      <c r="D367" s="167">
        <f>8202*1.04*1.05*1.05</f>
        <v>9404.4132000000009</v>
      </c>
      <c r="E367" s="167"/>
      <c r="F367" s="167"/>
      <c r="G367" s="167"/>
      <c r="H367" s="168"/>
      <c r="I367" s="166">
        <f t="shared" si="64"/>
        <v>9404.4132000000009</v>
      </c>
    </row>
    <row r="368" spans="1:9" ht="51" customHeight="1">
      <c r="A368" s="62" t="s">
        <v>223</v>
      </c>
      <c r="B368" s="36" t="s">
        <v>200</v>
      </c>
      <c r="C368" s="22" t="s">
        <v>149</v>
      </c>
      <c r="D368" s="167">
        <f>2651*1.04*1.05*1.05</f>
        <v>3039.6366000000003</v>
      </c>
      <c r="E368" s="167"/>
      <c r="F368" s="167">
        <v>142</v>
      </c>
      <c r="G368" s="167"/>
      <c r="H368" s="168"/>
      <c r="I368" s="166">
        <f t="shared" si="64"/>
        <v>3181.6366000000003</v>
      </c>
    </row>
    <row r="369" spans="1:9" ht="40.5" customHeight="1">
      <c r="A369" s="60" t="s">
        <v>94</v>
      </c>
      <c r="B369" s="43" t="s">
        <v>200</v>
      </c>
      <c r="C369" s="22" t="s">
        <v>149</v>
      </c>
      <c r="D369" s="166">
        <f>4415*1.04*1.05*1.05</f>
        <v>5062.2390000000005</v>
      </c>
      <c r="E369" s="166"/>
      <c r="F369" s="166">
        <v>90</v>
      </c>
      <c r="G369" s="166"/>
      <c r="H369" s="168"/>
      <c r="I369" s="166">
        <f t="shared" si="64"/>
        <v>5152.2390000000005</v>
      </c>
    </row>
    <row r="370" spans="1:9" ht="40.5" customHeight="1">
      <c r="A370" s="70" t="s">
        <v>34</v>
      </c>
      <c r="B370" s="161" t="s">
        <v>200</v>
      </c>
      <c r="C370" s="162" t="s">
        <v>236</v>
      </c>
      <c r="D370" s="166">
        <f>3784*1.04*1.05*1.05</f>
        <v>4338.7344000000012</v>
      </c>
      <c r="E370" s="213"/>
      <c r="F370" s="248">
        <v>90</v>
      </c>
      <c r="G370" s="249"/>
      <c r="H370" s="168"/>
      <c r="I370" s="166">
        <f t="shared" si="64"/>
        <v>4428.7344000000012</v>
      </c>
    </row>
    <row r="371" spans="1:9" ht="40.5" customHeight="1">
      <c r="A371" s="60" t="s">
        <v>247</v>
      </c>
      <c r="B371" s="163" t="s">
        <v>200</v>
      </c>
      <c r="C371" s="37" t="s">
        <v>236</v>
      </c>
      <c r="D371" s="166">
        <f>3312*1.04*1.05*1.05</f>
        <v>3797.5392000000002</v>
      </c>
      <c r="E371" s="213"/>
      <c r="F371" s="213">
        <v>138</v>
      </c>
      <c r="G371" s="213"/>
      <c r="H371" s="168"/>
      <c r="I371" s="166">
        <f t="shared" si="64"/>
        <v>3935.5392000000002</v>
      </c>
    </row>
    <row r="372" spans="1:9" ht="40.5" customHeight="1">
      <c r="A372" s="104" t="s">
        <v>107</v>
      </c>
      <c r="B372" s="163" t="s">
        <v>200</v>
      </c>
      <c r="C372" s="38" t="s">
        <v>236</v>
      </c>
      <c r="D372" s="209">
        <f>3709*1.04*1.05*1.05</f>
        <v>4252.7394000000004</v>
      </c>
      <c r="E372" s="209"/>
      <c r="F372" s="209">
        <v>129</v>
      </c>
      <c r="G372" s="209"/>
      <c r="H372" s="168"/>
      <c r="I372" s="166">
        <f t="shared" si="64"/>
        <v>4381.7394000000004</v>
      </c>
    </row>
    <row r="373" spans="1:9" ht="40.5" customHeight="1">
      <c r="A373" s="62" t="s">
        <v>139</v>
      </c>
      <c r="B373" s="164" t="s">
        <v>200</v>
      </c>
      <c r="C373" s="116" t="s">
        <v>242</v>
      </c>
      <c r="D373" s="166">
        <f>2646*1.04*1.05*1.05</f>
        <v>3033.9036000000006</v>
      </c>
      <c r="E373" s="166"/>
      <c r="F373" s="180">
        <v>129</v>
      </c>
      <c r="G373" s="181"/>
      <c r="H373" s="168"/>
      <c r="I373" s="166">
        <f t="shared" si="64"/>
        <v>3162.9036000000006</v>
      </c>
    </row>
    <row r="374" spans="1:9" ht="51" customHeight="1">
      <c r="A374" s="62" t="s">
        <v>137</v>
      </c>
      <c r="B374" s="38" t="s">
        <v>200</v>
      </c>
      <c r="C374" s="23" t="s">
        <v>236</v>
      </c>
      <c r="D374" s="166">
        <f>4403*1.04*1.05*1.05</f>
        <v>5048.4798000000001</v>
      </c>
      <c r="E374" s="166"/>
      <c r="F374" s="166">
        <v>90</v>
      </c>
      <c r="G374" s="166"/>
      <c r="H374" s="168"/>
      <c r="I374" s="166">
        <f t="shared" si="64"/>
        <v>5138.4798000000001</v>
      </c>
    </row>
    <row r="375" spans="1:9" ht="51" customHeight="1">
      <c r="A375" s="62" t="s">
        <v>141</v>
      </c>
      <c r="B375" s="159" t="s">
        <v>200</v>
      </c>
      <c r="C375" s="23" t="s">
        <v>236</v>
      </c>
      <c r="D375" s="166">
        <f>4067*1.04*1.05*1.05</f>
        <v>4663.2222000000011</v>
      </c>
      <c r="E375" s="167"/>
      <c r="F375" s="167">
        <v>111</v>
      </c>
      <c r="G375" s="167"/>
      <c r="H375" s="168"/>
      <c r="I375" s="166">
        <f t="shared" si="64"/>
        <v>4774.2222000000011</v>
      </c>
    </row>
    <row r="376" spans="1:9" ht="51" customHeight="1">
      <c r="A376" s="62" t="s">
        <v>122</v>
      </c>
      <c r="B376" s="36" t="s">
        <v>200</v>
      </c>
      <c r="C376" s="165" t="s">
        <v>236</v>
      </c>
      <c r="D376" s="166">
        <f>7215*1.04*1.05*1.05</f>
        <v>8272.719000000001</v>
      </c>
      <c r="E376" s="166"/>
      <c r="F376" s="166"/>
      <c r="G376" s="166"/>
      <c r="H376" s="168"/>
      <c r="I376" s="166">
        <f t="shared" si="64"/>
        <v>8272.719000000001</v>
      </c>
    </row>
    <row r="377" spans="1:9" ht="51" customHeight="1">
      <c r="A377" s="60" t="s">
        <v>108</v>
      </c>
      <c r="B377" s="36" t="s">
        <v>200</v>
      </c>
      <c r="C377" s="23" t="s">
        <v>236</v>
      </c>
      <c r="D377" s="166">
        <f>4415*1.04*1.05*1.05</f>
        <v>5062.2390000000005</v>
      </c>
      <c r="E377" s="209"/>
      <c r="F377" s="209">
        <v>90</v>
      </c>
      <c r="G377" s="209"/>
      <c r="H377" s="168"/>
      <c r="I377" s="166">
        <f t="shared" si="64"/>
        <v>5152.2390000000005</v>
      </c>
    </row>
    <row r="378" spans="1:9" ht="51" customHeight="1">
      <c r="A378" s="60" t="s">
        <v>294</v>
      </c>
      <c r="B378" s="38" t="s">
        <v>200</v>
      </c>
      <c r="C378" s="23" t="s">
        <v>236</v>
      </c>
      <c r="D378" s="166">
        <f>6515*1.04*1.05*1.05</f>
        <v>7470.0990000000011</v>
      </c>
      <c r="E378" s="209"/>
      <c r="F378" s="209"/>
      <c r="G378" s="209"/>
      <c r="H378" s="168"/>
      <c r="I378" s="166">
        <f t="shared" si="64"/>
        <v>7470.0990000000011</v>
      </c>
    </row>
    <row r="379" spans="1:9" ht="51" customHeight="1">
      <c r="A379" s="60" t="s">
        <v>295</v>
      </c>
      <c r="B379" s="38" t="s">
        <v>200</v>
      </c>
      <c r="C379" s="23" t="s">
        <v>236</v>
      </c>
      <c r="D379" s="166">
        <f>7215*1.04*1.05*1.05</f>
        <v>8272.719000000001</v>
      </c>
      <c r="E379" s="209"/>
      <c r="F379" s="209"/>
      <c r="G379" s="209"/>
      <c r="H379" s="168"/>
      <c r="I379" s="166">
        <f t="shared" si="64"/>
        <v>8272.719000000001</v>
      </c>
    </row>
    <row r="380" spans="1:9" ht="51" customHeight="1">
      <c r="A380" s="62" t="s">
        <v>120</v>
      </c>
      <c r="B380" s="36" t="s">
        <v>200</v>
      </c>
      <c r="C380" s="250" t="s">
        <v>236</v>
      </c>
      <c r="D380" s="166">
        <f>6335*1.04*1.05*1.05</f>
        <v>7263.7110000000011</v>
      </c>
      <c r="E380" s="209"/>
      <c r="F380" s="209"/>
      <c r="G380" s="209"/>
      <c r="H380" s="168"/>
      <c r="I380" s="166">
        <f t="shared" si="64"/>
        <v>7263.7110000000011</v>
      </c>
    </row>
    <row r="381" spans="1:9" ht="51" customHeight="1">
      <c r="A381" s="62" t="s">
        <v>125</v>
      </c>
      <c r="B381" s="36" t="s">
        <v>200</v>
      </c>
      <c r="C381" s="37" t="s">
        <v>236</v>
      </c>
      <c r="D381" s="166">
        <f>4817*1.04*1.05*1.05</f>
        <v>5523.1722000000009</v>
      </c>
      <c r="E381" s="166"/>
      <c r="F381" s="209"/>
      <c r="G381" s="209"/>
      <c r="H381" s="168"/>
      <c r="I381" s="166">
        <f t="shared" si="64"/>
        <v>5523.1722000000009</v>
      </c>
    </row>
    <row r="382" spans="1:9" ht="51" customHeight="1">
      <c r="A382" s="62" t="s">
        <v>345</v>
      </c>
      <c r="B382" s="36" t="s">
        <v>200</v>
      </c>
      <c r="C382" s="37" t="s">
        <v>236</v>
      </c>
      <c r="D382" s="166">
        <f>8886*1.04*1.05*1.05</f>
        <v>10188.687600000001</v>
      </c>
      <c r="E382" s="166"/>
      <c r="F382" s="209"/>
      <c r="G382" s="209"/>
      <c r="H382" s="168"/>
      <c r="I382" s="166">
        <f t="shared" si="64"/>
        <v>10188.687600000001</v>
      </c>
    </row>
    <row r="383" spans="1:9" ht="51" customHeight="1">
      <c r="A383" s="62" t="s">
        <v>346</v>
      </c>
      <c r="B383" s="36" t="s">
        <v>200</v>
      </c>
      <c r="C383" s="37" t="s">
        <v>236</v>
      </c>
      <c r="D383" s="166">
        <f>6019*1.04*1.05*1.05</f>
        <v>6901.385400000001</v>
      </c>
      <c r="E383" s="166"/>
      <c r="F383" s="209"/>
      <c r="G383" s="209"/>
      <c r="H383" s="168"/>
      <c r="I383" s="166">
        <f t="shared" si="64"/>
        <v>6901.385400000001</v>
      </c>
    </row>
    <row r="384" spans="1:9" ht="51" customHeight="1">
      <c r="A384" s="62" t="s">
        <v>347</v>
      </c>
      <c r="B384" s="36" t="s">
        <v>200</v>
      </c>
      <c r="C384" s="37" t="s">
        <v>236</v>
      </c>
      <c r="D384" s="166">
        <f>6338*1.04*1.05*1.05</f>
        <v>7267.1508000000003</v>
      </c>
      <c r="E384" s="166"/>
      <c r="F384" s="209"/>
      <c r="G384" s="209"/>
      <c r="H384" s="168"/>
      <c r="I384" s="166">
        <f t="shared" si="64"/>
        <v>7267.1508000000003</v>
      </c>
    </row>
    <row r="385" spans="1:9" ht="51" customHeight="1">
      <c r="A385" s="62" t="s">
        <v>348</v>
      </c>
      <c r="B385" s="36" t="s">
        <v>200</v>
      </c>
      <c r="C385" s="37" t="s">
        <v>236</v>
      </c>
      <c r="D385" s="166">
        <f>2891*1.04*1.05*1.05</f>
        <v>3314.8206000000009</v>
      </c>
      <c r="E385" s="166"/>
      <c r="F385" s="209">
        <v>90</v>
      </c>
      <c r="G385" s="209"/>
      <c r="H385" s="168"/>
      <c r="I385" s="166">
        <f t="shared" si="64"/>
        <v>3404.8206000000009</v>
      </c>
    </row>
    <row r="386" spans="1:9" ht="51" customHeight="1">
      <c r="A386" s="62" t="s">
        <v>349</v>
      </c>
      <c r="B386" s="36" t="s">
        <v>200</v>
      </c>
      <c r="C386" s="37" t="s">
        <v>236</v>
      </c>
      <c r="D386" s="166">
        <f>4707*1.04*1.05*1.05</f>
        <v>5397.0461999999998</v>
      </c>
      <c r="E386" s="166"/>
      <c r="F386" s="209">
        <v>90</v>
      </c>
      <c r="G386" s="209"/>
      <c r="H386" s="168"/>
      <c r="I386" s="166">
        <f t="shared" si="64"/>
        <v>5487.0461999999998</v>
      </c>
    </row>
    <row r="387" spans="1:9" s="4" customFormat="1" ht="51" customHeight="1">
      <c r="A387" s="60" t="s">
        <v>28</v>
      </c>
      <c r="B387" s="121" t="s">
        <v>200</v>
      </c>
      <c r="C387" s="38" t="s">
        <v>411</v>
      </c>
      <c r="D387" s="166">
        <f>6035*1.04*1.05*1.05</f>
        <v>6919.7310000000016</v>
      </c>
      <c r="E387" s="166"/>
      <c r="F387" s="166"/>
      <c r="G387" s="166"/>
      <c r="H387" s="168"/>
      <c r="I387" s="166">
        <f t="shared" si="64"/>
        <v>6919.7310000000016</v>
      </c>
    </row>
    <row r="388" spans="1:9" ht="51" customHeight="1">
      <c r="A388" s="62" t="s">
        <v>412</v>
      </c>
      <c r="B388" s="121" t="s">
        <v>200</v>
      </c>
      <c r="C388" s="38" t="s">
        <v>411</v>
      </c>
      <c r="D388" s="166">
        <f>4985.28/2*1.05*1.05</f>
        <v>2748.1356000000001</v>
      </c>
      <c r="E388" s="166"/>
      <c r="F388" s="166"/>
      <c r="G388" s="166"/>
      <c r="H388" s="168"/>
      <c r="I388" s="166">
        <f t="shared" si="64"/>
        <v>2748.1356000000001</v>
      </c>
    </row>
    <row r="389" spans="1:9" ht="51" customHeight="1">
      <c r="A389" s="62" t="s">
        <v>427</v>
      </c>
      <c r="B389" s="121" t="s">
        <v>200</v>
      </c>
      <c r="C389" s="38" t="s">
        <v>411</v>
      </c>
      <c r="D389" s="166">
        <f>6173.44/2*1.05*1.05</f>
        <v>3403.1088</v>
      </c>
      <c r="E389" s="166"/>
      <c r="F389" s="166"/>
      <c r="G389" s="166"/>
      <c r="H389" s="168"/>
      <c r="I389" s="166">
        <f t="shared" si="64"/>
        <v>3403.1088</v>
      </c>
    </row>
    <row r="390" spans="1:9" ht="51" customHeight="1">
      <c r="A390" s="91" t="s">
        <v>134</v>
      </c>
      <c r="B390" s="35" t="s">
        <v>200</v>
      </c>
      <c r="C390" s="37" t="s">
        <v>236</v>
      </c>
      <c r="D390" s="166">
        <f>4432*1.05*1.05*1.05</f>
        <v>5130.594000000001</v>
      </c>
      <c r="E390" s="167"/>
      <c r="F390" s="167">
        <v>90</v>
      </c>
      <c r="G390" s="167"/>
      <c r="H390" s="168"/>
      <c r="I390" s="166">
        <f t="shared" si="64"/>
        <v>5220.594000000001</v>
      </c>
    </row>
    <row r="391" spans="1:9" ht="40.5" customHeight="1">
      <c r="A391" s="96" t="s">
        <v>100</v>
      </c>
      <c r="B391" s="50" t="s">
        <v>200</v>
      </c>
      <c r="C391" s="37" t="s">
        <v>236</v>
      </c>
      <c r="D391" s="166">
        <f>4635.75*1.05*1.05*0.6</f>
        <v>3066.5486249999999</v>
      </c>
      <c r="E391" s="166"/>
      <c r="F391" s="166">
        <v>90</v>
      </c>
      <c r="G391" s="179"/>
      <c r="H391" s="168"/>
      <c r="I391" s="166">
        <f t="shared" si="64"/>
        <v>3156.5486249999999</v>
      </c>
    </row>
    <row r="392" spans="1:9" ht="51" customHeight="1" thickBot="1">
      <c r="A392" s="62" t="s">
        <v>350</v>
      </c>
      <c r="B392" s="36" t="s">
        <v>200</v>
      </c>
      <c r="C392" s="37" t="s">
        <v>236</v>
      </c>
      <c r="D392" s="166">
        <f>3018*1.04*1.05*1.05</f>
        <v>3460.4388000000004</v>
      </c>
      <c r="E392" s="166"/>
      <c r="F392" s="209">
        <v>90</v>
      </c>
      <c r="G392" s="209"/>
      <c r="H392" s="168"/>
      <c r="I392" s="166">
        <f t="shared" si="64"/>
        <v>3550.4388000000004</v>
      </c>
    </row>
    <row r="393" spans="1:9" ht="25.5" customHeight="1" thickTop="1" thickBot="1">
      <c r="A393" s="62"/>
      <c r="B393" s="38"/>
      <c r="C393" s="53" t="s">
        <v>6</v>
      </c>
      <c r="D393" s="175">
        <f>SUM(D352:D392)</f>
        <v>200692.67242500006</v>
      </c>
      <c r="E393" s="175">
        <f t="shared" ref="E393:H393" si="65">SUM(E352:E392)</f>
        <v>0</v>
      </c>
      <c r="F393" s="175">
        <f>SUM(F352:F392)</f>
        <v>3344</v>
      </c>
      <c r="G393" s="175">
        <f t="shared" si="65"/>
        <v>0</v>
      </c>
      <c r="H393" s="175">
        <f t="shared" si="65"/>
        <v>0</v>
      </c>
      <c r="I393" s="175">
        <f>SUM(I352:I392)</f>
        <v>204036.67242500008</v>
      </c>
    </row>
    <row r="394" spans="1:9" ht="25.5" customHeight="1" thickBot="1">
      <c r="A394" s="62"/>
      <c r="B394" s="107"/>
      <c r="C394" s="169" t="s">
        <v>206</v>
      </c>
      <c r="D394" s="170">
        <f>D393-[15]MADRE!$H$489</f>
        <v>0</v>
      </c>
      <c r="E394" s="170">
        <f>E393-[6]MADRE!$I$502</f>
        <v>0</v>
      </c>
      <c r="F394" s="170">
        <f>F393-[15]MADRE!$J$489</f>
        <v>0</v>
      </c>
      <c r="G394" s="170">
        <f>G393-[2]MADRE!K$502</f>
        <v>0</v>
      </c>
      <c r="H394" s="170">
        <f>H393-[3]MADRE!$L$489</f>
        <v>0</v>
      </c>
      <c r="I394" s="170">
        <f>I393-[3]MADRE!$M$489</f>
        <v>0</v>
      </c>
    </row>
    <row r="395" spans="1:9" ht="15" customHeight="1">
      <c r="A395" s="25" t="s">
        <v>198</v>
      </c>
      <c r="B395" s="106"/>
      <c r="C395" s="28"/>
      <c r="D395" s="28"/>
      <c r="E395" s="28"/>
      <c r="F395" s="28"/>
      <c r="G395" s="28"/>
      <c r="H395" s="364"/>
      <c r="I395" s="28"/>
    </row>
    <row r="396" spans="1:9" ht="54" customHeight="1">
      <c r="A396" s="62" t="s">
        <v>391</v>
      </c>
      <c r="B396" s="38" t="s">
        <v>201</v>
      </c>
      <c r="C396" s="23" t="s">
        <v>165</v>
      </c>
      <c r="D396" s="167">
        <f>1625*1.04*1.05*1.05</f>
        <v>1863.2250000000001</v>
      </c>
      <c r="E396" s="167"/>
      <c r="F396" s="167">
        <v>175</v>
      </c>
      <c r="G396" s="167"/>
      <c r="H396" s="168"/>
      <c r="I396" s="166">
        <f>D396+F396+H396</f>
        <v>2038.2250000000001</v>
      </c>
    </row>
    <row r="397" spans="1:9" ht="51" customHeight="1">
      <c r="A397" s="62" t="s">
        <v>166</v>
      </c>
      <c r="B397" s="38" t="s">
        <v>201</v>
      </c>
      <c r="C397" s="23" t="s">
        <v>165</v>
      </c>
      <c r="D397" s="167">
        <f>1625*1.04*1.05*1.05</f>
        <v>1863.2250000000001</v>
      </c>
      <c r="E397" s="167"/>
      <c r="F397" s="167">
        <v>175</v>
      </c>
      <c r="G397" s="167"/>
      <c r="H397" s="168"/>
      <c r="I397" s="166">
        <f t="shared" ref="I397:I404" si="66">D397+F397+H397</f>
        <v>2038.2250000000001</v>
      </c>
    </row>
    <row r="398" spans="1:9" ht="51" customHeight="1">
      <c r="A398" s="62" t="s">
        <v>397</v>
      </c>
      <c r="B398" s="38" t="s">
        <v>201</v>
      </c>
      <c r="C398" s="23" t="s">
        <v>165</v>
      </c>
      <c r="D398" s="167">
        <f>1625*1.04*1.05*1.05</f>
        <v>1863.2250000000001</v>
      </c>
      <c r="E398" s="167"/>
      <c r="F398" s="167">
        <v>175</v>
      </c>
      <c r="G398" s="167"/>
      <c r="H398" s="168"/>
      <c r="I398" s="166">
        <f t="shared" si="66"/>
        <v>2038.2250000000001</v>
      </c>
    </row>
    <row r="399" spans="1:9" ht="51" customHeight="1">
      <c r="A399" s="62" t="s">
        <v>167</v>
      </c>
      <c r="B399" s="38" t="s">
        <v>201</v>
      </c>
      <c r="C399" s="23" t="s">
        <v>165</v>
      </c>
      <c r="D399" s="167">
        <v>1700</v>
      </c>
      <c r="E399" s="167"/>
      <c r="F399" s="167">
        <v>175</v>
      </c>
      <c r="G399" s="168"/>
      <c r="H399" s="168"/>
      <c r="I399" s="166">
        <f t="shared" si="66"/>
        <v>1875</v>
      </c>
    </row>
    <row r="400" spans="1:9" ht="51" customHeight="1">
      <c r="A400" s="62" t="s">
        <v>426</v>
      </c>
      <c r="B400" s="38" t="s">
        <v>201</v>
      </c>
      <c r="C400" s="23" t="s">
        <v>165</v>
      </c>
      <c r="D400" s="167">
        <f>3778.88/2*1.05*1.05</f>
        <v>2083.1076000000003</v>
      </c>
      <c r="E400" s="167"/>
      <c r="F400" s="167"/>
      <c r="G400" s="168"/>
      <c r="H400" s="168"/>
      <c r="I400" s="166">
        <f t="shared" si="66"/>
        <v>2083.1076000000003</v>
      </c>
    </row>
    <row r="401" spans="1:9" ht="51" customHeight="1">
      <c r="A401" s="86" t="s">
        <v>359</v>
      </c>
      <c r="B401" s="22" t="s">
        <v>201</v>
      </c>
      <c r="C401" s="23" t="s">
        <v>165</v>
      </c>
      <c r="D401" s="166">
        <f>3994.1*1.05</f>
        <v>4193.8050000000003</v>
      </c>
      <c r="E401" s="166"/>
      <c r="F401" s="166"/>
      <c r="G401" s="166"/>
      <c r="H401" s="168"/>
      <c r="I401" s="166">
        <f t="shared" si="66"/>
        <v>4193.8050000000003</v>
      </c>
    </row>
    <row r="402" spans="1:9" ht="51" customHeight="1">
      <c r="A402" s="86" t="s">
        <v>492</v>
      </c>
      <c r="B402" s="22" t="s">
        <v>201</v>
      </c>
      <c r="C402" s="23" t="s">
        <v>165</v>
      </c>
      <c r="D402" s="166">
        <f>6048.59/2</f>
        <v>3024.2950000000001</v>
      </c>
      <c r="E402" s="166"/>
      <c r="F402" s="166">
        <v>30</v>
      </c>
      <c r="G402" s="166"/>
      <c r="H402" s="168"/>
      <c r="I402" s="166">
        <f t="shared" si="66"/>
        <v>3054.2950000000001</v>
      </c>
    </row>
    <row r="403" spans="1:9" ht="51" customHeight="1">
      <c r="A403" s="70" t="s">
        <v>59</v>
      </c>
      <c r="B403" s="35" t="s">
        <v>201</v>
      </c>
      <c r="C403" s="23" t="s">
        <v>165</v>
      </c>
      <c r="D403" s="166">
        <f>5545*1.05*1.05*1.05*0.6</f>
        <v>3851.4183750000002</v>
      </c>
      <c r="E403" s="166"/>
      <c r="F403" s="180"/>
      <c r="G403" s="181">
        <v>126</v>
      </c>
      <c r="H403" s="168"/>
      <c r="I403" s="166">
        <f>D403+F403+H403+G403</f>
        <v>3977.4183750000002</v>
      </c>
    </row>
    <row r="404" spans="1:9" s="4" customFormat="1" ht="51" customHeight="1" thickBot="1">
      <c r="A404" s="60" t="s">
        <v>351</v>
      </c>
      <c r="B404" s="38" t="s">
        <v>201</v>
      </c>
      <c r="C404" s="37" t="s">
        <v>165</v>
      </c>
      <c r="D404" s="166">
        <f>4079*1.04*1.05*1.05</f>
        <v>4676.9814000000006</v>
      </c>
      <c r="E404" s="166"/>
      <c r="F404" s="166">
        <v>90</v>
      </c>
      <c r="G404" s="166"/>
      <c r="H404" s="168"/>
      <c r="I404" s="166">
        <f t="shared" si="66"/>
        <v>4766.9814000000006</v>
      </c>
    </row>
    <row r="405" spans="1:9" ht="25.5" customHeight="1" thickTop="1" thickBot="1">
      <c r="A405" s="105"/>
      <c r="B405" s="22"/>
      <c r="C405" s="53" t="s">
        <v>6</v>
      </c>
      <c r="D405" s="175">
        <f>SUM(D396:D404)</f>
        <v>25119.282375000003</v>
      </c>
      <c r="E405" s="175">
        <f t="shared" ref="E405:H405" si="67">SUM(E396:E404)</f>
        <v>0</v>
      </c>
      <c r="F405" s="175">
        <f t="shared" si="67"/>
        <v>820</v>
      </c>
      <c r="G405" s="175">
        <f t="shared" si="67"/>
        <v>126</v>
      </c>
      <c r="H405" s="175">
        <f t="shared" si="67"/>
        <v>0</v>
      </c>
      <c r="I405" s="175">
        <f>SUM(I396:I404)</f>
        <v>26065.282375000003</v>
      </c>
    </row>
    <row r="406" spans="1:9" ht="25.5" customHeight="1" thickBot="1">
      <c r="B406" s="107"/>
      <c r="C406" s="169" t="s">
        <v>206</v>
      </c>
      <c r="D406" s="170">
        <f>D405-[15]MADRE!$H$500</f>
        <v>0</v>
      </c>
      <c r="E406" s="170">
        <f>E405-[2]MADRE!I$513</f>
        <v>0</v>
      </c>
      <c r="F406" s="170">
        <f>F405-[15]MADRE!$J$500</f>
        <v>0</v>
      </c>
      <c r="G406" s="170">
        <f>G405-[15]MADRE!$K$500</f>
        <v>0</v>
      </c>
      <c r="H406" s="170">
        <f>H405-[3]MADRE!$L$500</f>
        <v>0</v>
      </c>
      <c r="I406" s="170">
        <f>I405-[3]MADRE!$M$500</f>
        <v>0</v>
      </c>
    </row>
    <row r="407" spans="1:9" ht="15" customHeight="1">
      <c r="A407" s="25" t="s">
        <v>197</v>
      </c>
      <c r="B407" s="106"/>
      <c r="C407" s="28"/>
      <c r="D407" s="28"/>
      <c r="E407" s="28"/>
      <c r="F407" s="28"/>
      <c r="G407" s="28"/>
      <c r="H407" s="364"/>
      <c r="I407" s="28"/>
    </row>
    <row r="408" spans="1:9" s="5" customFormat="1" ht="51" customHeight="1" thickBot="1">
      <c r="A408" s="62" t="s">
        <v>169</v>
      </c>
      <c r="B408" s="22" t="s">
        <v>200</v>
      </c>
      <c r="C408" s="23" t="s">
        <v>168</v>
      </c>
      <c r="D408" s="166">
        <f>2210*1.04*1.05*1.05</f>
        <v>2533.9860000000003</v>
      </c>
      <c r="E408" s="166"/>
      <c r="F408" s="166">
        <v>165</v>
      </c>
      <c r="G408" s="176"/>
      <c r="H408" s="176"/>
      <c r="I408" s="166">
        <f>D408+F408+H408</f>
        <v>2698.9860000000003</v>
      </c>
    </row>
    <row r="409" spans="1:9" ht="25.5" customHeight="1" thickTop="1" thickBot="1">
      <c r="B409" s="22"/>
      <c r="C409" s="53" t="s">
        <v>6</v>
      </c>
      <c r="D409" s="175">
        <f t="shared" ref="D409:H409" si="68">SUM(D408)</f>
        <v>2533.9860000000003</v>
      </c>
      <c r="E409" s="175">
        <f t="shared" si="68"/>
        <v>0</v>
      </c>
      <c r="F409" s="175">
        <f t="shared" si="68"/>
        <v>165</v>
      </c>
      <c r="G409" s="175">
        <f t="shared" si="68"/>
        <v>0</v>
      </c>
      <c r="H409" s="175">
        <f t="shared" si="68"/>
        <v>0</v>
      </c>
      <c r="I409" s="175">
        <f>SUM(I408)</f>
        <v>2698.9860000000003</v>
      </c>
    </row>
    <row r="410" spans="1:9" ht="25.5" customHeight="1" thickBot="1">
      <c r="B410" s="107"/>
      <c r="C410" s="169" t="s">
        <v>206</v>
      </c>
      <c r="D410" s="170">
        <f>D409-[1]MADRE!$H$506</f>
        <v>0</v>
      </c>
      <c r="E410" s="170">
        <f>E409-[2]MADRE!I$521</f>
        <v>0</v>
      </c>
      <c r="F410" s="170">
        <f>F409-[2]MADRE!J$521</f>
        <v>0</v>
      </c>
      <c r="G410" s="170">
        <f>G409-[2]MADRE!K$521</f>
        <v>0</v>
      </c>
      <c r="H410" s="170">
        <f>H409-[3]MADRE!$L$508</f>
        <v>0</v>
      </c>
      <c r="I410" s="170">
        <f>I409-[3]MADRE!$M$508</f>
        <v>0</v>
      </c>
    </row>
  </sheetData>
  <autoFilter ref="A6:HG186"/>
  <phoneticPr fontId="20" type="noConversion"/>
  <conditionalFormatting sqref="D21:I21">
    <cfRule type="cellIs" dxfId="152" priority="1254" operator="lessThan">
      <formula>0</formula>
    </cfRule>
    <cfRule type="cellIs" dxfId="151" priority="1293" operator="greaterThan">
      <formula>0</formula>
    </cfRule>
    <cfRule type="cellIs" dxfId="150" priority="1294" operator="equal">
      <formula>0</formula>
    </cfRule>
  </conditionalFormatting>
  <conditionalFormatting sqref="D55:I55">
    <cfRule type="cellIs" dxfId="149" priority="1255" operator="lessThan">
      <formula>0</formula>
    </cfRule>
    <cfRule type="cellIs" dxfId="148" priority="1291" operator="greaterThan">
      <formula>0</formula>
    </cfRule>
    <cfRule type="cellIs" dxfId="147" priority="1292" operator="equal">
      <formula>0</formula>
    </cfRule>
  </conditionalFormatting>
  <conditionalFormatting sqref="D26:I26">
    <cfRule type="cellIs" dxfId="146" priority="1256" operator="lessThan">
      <formula>0</formula>
    </cfRule>
    <cfRule type="cellIs" dxfId="145" priority="1289" operator="greaterThan">
      <formula>0</formula>
    </cfRule>
    <cfRule type="cellIs" dxfId="144" priority="1290" operator="equal">
      <formula>0</formula>
    </cfRule>
  </conditionalFormatting>
  <conditionalFormatting sqref="D41:I41">
    <cfRule type="cellIs" dxfId="143" priority="1258" operator="lessThan">
      <formula>0</formula>
    </cfRule>
    <cfRule type="cellIs" dxfId="142" priority="1284" operator="greaterThan">
      <formula>0</formula>
    </cfRule>
    <cfRule type="cellIs" dxfId="141" priority="1285" operator="equal">
      <formula>0</formula>
    </cfRule>
  </conditionalFormatting>
  <conditionalFormatting sqref="D50:I50">
    <cfRule type="cellIs" dxfId="140" priority="1259" operator="lessThan">
      <formula>0</formula>
    </cfRule>
    <cfRule type="cellIs" dxfId="139" priority="1280" operator="greaterThan">
      <formula>0</formula>
    </cfRule>
    <cfRule type="cellIs" dxfId="138" priority="1281" operator="equal">
      <formula>0</formula>
    </cfRule>
  </conditionalFormatting>
  <conditionalFormatting sqref="D73:I73">
    <cfRule type="cellIs" dxfId="137" priority="1260" operator="lessThan">
      <formula>0</formula>
    </cfRule>
    <cfRule type="cellIs" dxfId="136" priority="1276" operator="greaterThan">
      <formula>0</formula>
    </cfRule>
    <cfRule type="cellIs" dxfId="135" priority="1277" operator="equal">
      <formula>0</formula>
    </cfRule>
  </conditionalFormatting>
  <conditionalFormatting sqref="D77:I77">
    <cfRule type="cellIs" dxfId="134" priority="1261" operator="lessThan">
      <formula>0</formula>
    </cfRule>
    <cfRule type="cellIs" dxfId="133" priority="1272" operator="greaterThan">
      <formula>0</formula>
    </cfRule>
    <cfRule type="cellIs" dxfId="132" priority="1273" operator="equal">
      <formula>0</formula>
    </cfRule>
  </conditionalFormatting>
  <conditionalFormatting sqref="D86:I86">
    <cfRule type="cellIs" dxfId="131" priority="1262" operator="lessThan">
      <formula>0</formula>
    </cfRule>
    <cfRule type="cellIs" dxfId="130" priority="1268" operator="greaterThan">
      <formula>0</formula>
    </cfRule>
    <cfRule type="cellIs" dxfId="129" priority="1269" operator="equal">
      <formula>0</formula>
    </cfRule>
  </conditionalFormatting>
  <conditionalFormatting sqref="D95:I95">
    <cfRule type="cellIs" dxfId="128" priority="1263" operator="lessThan">
      <formula>0</formula>
    </cfRule>
    <cfRule type="cellIs" dxfId="127" priority="1264" operator="greaterThan">
      <formula>0</formula>
    </cfRule>
    <cfRule type="cellIs" dxfId="126" priority="1265" operator="equal">
      <formula>0</formula>
    </cfRule>
  </conditionalFormatting>
  <conditionalFormatting sqref="D104:I104">
    <cfRule type="cellIs" dxfId="125" priority="1247" operator="lessThan">
      <formula>0</formula>
    </cfRule>
    <cfRule type="cellIs" dxfId="124" priority="1248" operator="greaterThan">
      <formula>0</formula>
    </cfRule>
    <cfRule type="cellIs" dxfId="123" priority="1249" operator="equal">
      <formula>0</formula>
    </cfRule>
  </conditionalFormatting>
  <conditionalFormatting sqref="D114:I114">
    <cfRule type="cellIs" dxfId="122" priority="1235" operator="lessThan">
      <formula>0</formula>
    </cfRule>
    <cfRule type="cellIs" dxfId="121" priority="1236" operator="greaterThan">
      <formula>0</formula>
    </cfRule>
    <cfRule type="cellIs" dxfId="120" priority="1237" operator="equal">
      <formula>0</formula>
    </cfRule>
    <cfRule type="cellIs" dxfId="119" priority="1238" operator="lessThan">
      <formula>0</formula>
    </cfRule>
    <cfRule type="cellIs" dxfId="118" priority="1239" operator="greaterThan">
      <formula>0</formula>
    </cfRule>
    <cfRule type="cellIs" dxfId="117" priority="1240" operator="equal">
      <formula>0</formula>
    </cfRule>
  </conditionalFormatting>
  <conditionalFormatting sqref="D122:I122">
    <cfRule type="cellIs" dxfId="116" priority="1220" operator="lessThan">
      <formula>0</formula>
    </cfRule>
    <cfRule type="cellIs" dxfId="115" priority="1221" operator="greaterThan">
      <formula>0</formula>
    </cfRule>
    <cfRule type="cellIs" dxfId="114" priority="1222" operator="equal">
      <formula>0</formula>
    </cfRule>
  </conditionalFormatting>
  <conditionalFormatting sqref="D233:I233">
    <cfRule type="cellIs" dxfId="113" priority="1214" operator="lessThan">
      <formula>0</formula>
    </cfRule>
    <cfRule type="cellIs" dxfId="112" priority="1215" operator="greaterThan">
      <formula>0</formula>
    </cfRule>
    <cfRule type="cellIs" dxfId="111" priority="1216" operator="equal">
      <formula>0</formula>
    </cfRule>
  </conditionalFormatting>
  <conditionalFormatting sqref="D131:I131">
    <cfRule type="cellIs" dxfId="110" priority="1208" operator="lessThan">
      <formula>0</formula>
    </cfRule>
    <cfRule type="cellIs" dxfId="109" priority="1209" operator="greaterThan">
      <formula>0</formula>
    </cfRule>
    <cfRule type="cellIs" dxfId="108" priority="1210" operator="equal">
      <formula>0</formula>
    </cfRule>
  </conditionalFormatting>
  <conditionalFormatting sqref="D145:I145">
    <cfRule type="cellIs" dxfId="107" priority="1202" operator="lessThan">
      <formula>0</formula>
    </cfRule>
    <cfRule type="cellIs" dxfId="106" priority="1203" operator="greaterThan">
      <formula>0</formula>
    </cfRule>
    <cfRule type="cellIs" dxfId="105" priority="1204" operator="equal">
      <formula>0</formula>
    </cfRule>
  </conditionalFormatting>
  <conditionalFormatting sqref="D149:I149">
    <cfRule type="cellIs" dxfId="104" priority="1196" operator="lessThan">
      <formula>0</formula>
    </cfRule>
    <cfRule type="cellIs" dxfId="103" priority="1197" operator="greaterThan">
      <formula>0</formula>
    </cfRule>
    <cfRule type="cellIs" dxfId="102" priority="1198" operator="equal">
      <formula>0</formula>
    </cfRule>
  </conditionalFormatting>
  <conditionalFormatting sqref="D167:I167">
    <cfRule type="cellIs" dxfId="101" priority="1190" operator="lessThan">
      <formula>0</formula>
    </cfRule>
    <cfRule type="cellIs" dxfId="100" priority="1191" operator="greaterThan">
      <formula>0</formula>
    </cfRule>
    <cfRule type="cellIs" dxfId="99" priority="1192" operator="equal">
      <formula>0</formula>
    </cfRule>
  </conditionalFormatting>
  <conditionalFormatting sqref="D173:I173">
    <cfRule type="cellIs" dxfId="98" priority="1183" operator="lessThan">
      <formula>0</formula>
    </cfRule>
    <cfRule type="cellIs" dxfId="97" priority="1184" operator="greaterThan">
      <formula>0</formula>
    </cfRule>
    <cfRule type="cellIs" dxfId="96" priority="1185" operator="equal">
      <formula>0</formula>
    </cfRule>
  </conditionalFormatting>
  <conditionalFormatting sqref="D179:I179">
    <cfRule type="cellIs" dxfId="95" priority="1177" operator="lessThan">
      <formula>0</formula>
    </cfRule>
    <cfRule type="cellIs" dxfId="94" priority="1178" operator="greaterThan">
      <formula>0</formula>
    </cfRule>
    <cfRule type="cellIs" dxfId="93" priority="1179" operator="equal">
      <formula>0</formula>
    </cfRule>
  </conditionalFormatting>
  <conditionalFormatting sqref="D185:I185">
    <cfRule type="cellIs" dxfId="92" priority="1171" operator="lessThan">
      <formula>0</formula>
    </cfRule>
    <cfRule type="cellIs" dxfId="91" priority="1172" operator="greaterThan">
      <formula>0</formula>
    </cfRule>
    <cfRule type="cellIs" dxfId="90" priority="1173" operator="equal">
      <formula>0</formula>
    </cfRule>
  </conditionalFormatting>
  <conditionalFormatting sqref="D194:I194">
    <cfRule type="cellIs" dxfId="89" priority="1165" operator="lessThan">
      <formula>0</formula>
    </cfRule>
    <cfRule type="cellIs" dxfId="88" priority="1166" operator="greaterThan">
      <formula>0</formula>
    </cfRule>
    <cfRule type="cellIs" dxfId="87" priority="1167" operator="equal">
      <formula>0</formula>
    </cfRule>
  </conditionalFormatting>
  <conditionalFormatting sqref="D206:I206">
    <cfRule type="cellIs" dxfId="86" priority="1159" operator="lessThan">
      <formula>0</formula>
    </cfRule>
    <cfRule type="cellIs" dxfId="85" priority="1160" operator="greaterThan">
      <formula>0</formula>
    </cfRule>
    <cfRule type="cellIs" dxfId="84" priority="1161" operator="equal">
      <formula>0</formula>
    </cfRule>
  </conditionalFormatting>
  <conditionalFormatting sqref="D223:I223">
    <cfRule type="cellIs" dxfId="83" priority="1153" operator="lessThan">
      <formula>0</formula>
    </cfRule>
    <cfRule type="cellIs" dxfId="82" priority="1154" operator="greaterThan">
      <formula>0</formula>
    </cfRule>
    <cfRule type="cellIs" dxfId="81" priority="1155" operator="equal">
      <formula>0</formula>
    </cfRule>
    <cfRule type="cellIs" dxfId="80" priority="1156" operator="lessThan">
      <formula>0</formula>
    </cfRule>
    <cfRule type="cellIs" dxfId="79" priority="1157" operator="greaterThan">
      <formula>0</formula>
    </cfRule>
    <cfRule type="cellIs" dxfId="78" priority="1158" operator="equal">
      <formula>0</formula>
    </cfRule>
  </conditionalFormatting>
  <conditionalFormatting sqref="D249:I249">
    <cfRule type="cellIs" dxfId="77" priority="1144" operator="lessThan">
      <formula>0</formula>
    </cfRule>
    <cfRule type="cellIs" dxfId="76" priority="1145" operator="greaterThan">
      <formula>0</formula>
    </cfRule>
    <cfRule type="cellIs" dxfId="75" priority="1146" operator="equal">
      <formula>0</formula>
    </cfRule>
  </conditionalFormatting>
  <conditionalFormatting sqref="D254:I254">
    <cfRule type="cellIs" dxfId="74" priority="1138" operator="lessThan">
      <formula>0</formula>
    </cfRule>
    <cfRule type="cellIs" dxfId="73" priority="1139" operator="greaterThan">
      <formula>0</formula>
    </cfRule>
    <cfRule type="cellIs" dxfId="72" priority="1140" operator="equal">
      <formula>0</formula>
    </cfRule>
  </conditionalFormatting>
  <conditionalFormatting sqref="D264:I264">
    <cfRule type="cellIs" dxfId="71" priority="1132" operator="lessThan">
      <formula>0</formula>
    </cfRule>
    <cfRule type="cellIs" dxfId="70" priority="1133" operator="greaterThan">
      <formula>0</formula>
    </cfRule>
    <cfRule type="cellIs" dxfId="69" priority="1134" operator="equal">
      <formula>0</formula>
    </cfRule>
  </conditionalFormatting>
  <conditionalFormatting sqref="D270:I270">
    <cfRule type="cellIs" dxfId="68" priority="1126" operator="lessThan">
      <formula>0</formula>
    </cfRule>
    <cfRule type="cellIs" dxfId="67" priority="1127" operator="greaterThan">
      <formula>0</formula>
    </cfRule>
    <cfRule type="cellIs" dxfId="66" priority="1128" operator="equal">
      <formula>0</formula>
    </cfRule>
  </conditionalFormatting>
  <conditionalFormatting sqref="D301:I301">
    <cfRule type="cellIs" dxfId="65" priority="1114" operator="lessThan">
      <formula>0</formula>
    </cfRule>
    <cfRule type="cellIs" dxfId="64" priority="1115" operator="greaterThan">
      <formula>0</formula>
    </cfRule>
    <cfRule type="cellIs" dxfId="63" priority="1116" operator="equal">
      <formula>0</formula>
    </cfRule>
  </conditionalFormatting>
  <conditionalFormatting sqref="D305:I305">
    <cfRule type="cellIs" dxfId="62" priority="1108" operator="lessThan">
      <formula>0</formula>
    </cfRule>
    <cfRule type="cellIs" dxfId="61" priority="1109" operator="greaterThan">
      <formula>0</formula>
    </cfRule>
    <cfRule type="cellIs" dxfId="60" priority="1110" operator="equal">
      <formula>0</formula>
    </cfRule>
  </conditionalFormatting>
  <conditionalFormatting sqref="D316:I316">
    <cfRule type="cellIs" dxfId="59" priority="1102" operator="lessThan">
      <formula>0</formula>
    </cfRule>
    <cfRule type="cellIs" dxfId="58" priority="1103" operator="greaterThan">
      <formula>0</formula>
    </cfRule>
    <cfRule type="cellIs" dxfId="57" priority="1104" operator="equal">
      <formula>0</formula>
    </cfRule>
  </conditionalFormatting>
  <conditionalFormatting sqref="D118:I118">
    <cfRule type="cellIs" dxfId="56" priority="1096" operator="lessThan">
      <formula>0</formula>
    </cfRule>
    <cfRule type="cellIs" dxfId="55" priority="1097" operator="greaterThan">
      <formula>0</formula>
    </cfRule>
    <cfRule type="cellIs" dxfId="54" priority="1098" operator="equal">
      <formula>0</formula>
    </cfRule>
  </conditionalFormatting>
  <conditionalFormatting sqref="D322:I322">
    <cfRule type="cellIs" dxfId="53" priority="1090" operator="lessThan">
      <formula>0</formula>
    </cfRule>
    <cfRule type="cellIs" dxfId="52" priority="1091" operator="greaterThan">
      <formula>0</formula>
    </cfRule>
    <cfRule type="cellIs" dxfId="51" priority="1092" operator="equal">
      <formula>0</formula>
    </cfRule>
  </conditionalFormatting>
  <conditionalFormatting sqref="D333:I333">
    <cfRule type="cellIs" dxfId="50" priority="1084" operator="lessThan">
      <formula>0</formula>
    </cfRule>
    <cfRule type="cellIs" dxfId="49" priority="1085" operator="greaterThan">
      <formula>0</formula>
    </cfRule>
    <cfRule type="cellIs" dxfId="48" priority="1086" operator="equal">
      <formula>0</formula>
    </cfRule>
  </conditionalFormatting>
  <conditionalFormatting sqref="D345:I345">
    <cfRule type="cellIs" dxfId="47" priority="1078" operator="lessThan">
      <formula>0</formula>
    </cfRule>
    <cfRule type="cellIs" dxfId="46" priority="1079" operator="greaterThan">
      <formula>0</formula>
    </cfRule>
    <cfRule type="cellIs" dxfId="45" priority="1080" operator="equal">
      <formula>0</formula>
    </cfRule>
  </conditionalFormatting>
  <conditionalFormatting sqref="D350:I350">
    <cfRule type="cellIs" dxfId="44" priority="1072" operator="lessThan">
      <formula>0</formula>
    </cfRule>
    <cfRule type="cellIs" dxfId="43" priority="1073" operator="greaterThan">
      <formula>0</formula>
    </cfRule>
    <cfRule type="cellIs" dxfId="42" priority="1074" operator="equal">
      <formula>0</formula>
    </cfRule>
  </conditionalFormatting>
  <conditionalFormatting sqref="D394:I394">
    <cfRule type="cellIs" dxfId="41" priority="1066" operator="lessThan">
      <formula>0</formula>
    </cfRule>
    <cfRule type="cellIs" dxfId="40" priority="1067" operator="greaterThan">
      <formula>0</formula>
    </cfRule>
    <cfRule type="cellIs" dxfId="39" priority="1068" operator="equal">
      <formula>0</formula>
    </cfRule>
  </conditionalFormatting>
  <conditionalFormatting sqref="D406:I406">
    <cfRule type="cellIs" dxfId="38" priority="1060" operator="lessThan">
      <formula>0</formula>
    </cfRule>
    <cfRule type="cellIs" dxfId="37" priority="1061" operator="greaterThan">
      <formula>0</formula>
    </cfRule>
    <cfRule type="cellIs" dxfId="36" priority="1062" operator="equal">
      <formula>0</formula>
    </cfRule>
  </conditionalFormatting>
  <conditionalFormatting sqref="D290:I290">
    <cfRule type="cellIs" dxfId="35" priority="956" operator="lessThan">
      <formula>0</formula>
    </cfRule>
    <cfRule type="cellIs" dxfId="34" priority="957" operator="greaterThan">
      <formula>0</formula>
    </cfRule>
    <cfRule type="cellIs" dxfId="33" priority="958" operator="equal">
      <formula>0</formula>
    </cfRule>
    <cfRule type="cellIs" dxfId="32" priority="1051" operator="lessThan">
      <formula>0</formula>
    </cfRule>
    <cfRule type="cellIs" dxfId="31" priority="1052" operator="greaterThan">
      <formula>0</formula>
    </cfRule>
    <cfRule type="cellIs" dxfId="30" priority="1053" operator="equal">
      <formula>0</formula>
    </cfRule>
  </conditionalFormatting>
  <conditionalFormatting sqref="D17:I17">
    <cfRule type="cellIs" dxfId="29" priority="933" operator="lessThan">
      <formula>0</formula>
    </cfRule>
    <cfRule type="cellIs" dxfId="28" priority="934" operator="greaterThan">
      <formula>0</formula>
    </cfRule>
    <cfRule type="cellIs" dxfId="27" priority="935" operator="equal">
      <formula>0</formula>
    </cfRule>
  </conditionalFormatting>
  <conditionalFormatting sqref="D109:I109">
    <cfRule type="cellIs" dxfId="26" priority="736" operator="lessThan">
      <formula>0</formula>
    </cfRule>
    <cfRule type="cellIs" dxfId="25" priority="737" operator="greaterThan">
      <formula>0</formula>
    </cfRule>
    <cfRule type="cellIs" dxfId="24" priority="738" operator="equal">
      <formula>0</formula>
    </cfRule>
  </conditionalFormatting>
  <conditionalFormatting sqref="D410:I410">
    <cfRule type="cellIs" dxfId="23" priority="733" operator="lessThan">
      <formula>0</formula>
    </cfRule>
    <cfRule type="cellIs" dxfId="22" priority="734" operator="greaterThan">
      <formula>0</formula>
    </cfRule>
    <cfRule type="cellIs" dxfId="21" priority="735" operator="equal">
      <formula>0</formula>
    </cfRule>
  </conditionalFormatting>
  <conditionalFormatting sqref="D63:I63">
    <cfRule type="cellIs" dxfId="20" priority="694" operator="lessThan">
      <formula>0</formula>
    </cfRule>
    <cfRule type="cellIs" dxfId="19" priority="695" operator="greaterThan">
      <formula>0</formula>
    </cfRule>
    <cfRule type="cellIs" dxfId="18" priority="696" operator="equal">
      <formula>0</formula>
    </cfRule>
  </conditionalFormatting>
  <conditionalFormatting sqref="D229:I229">
    <cfRule type="cellIs" dxfId="17" priority="397" operator="lessThan">
      <formula>0</formula>
    </cfRule>
    <cfRule type="cellIs" dxfId="16" priority="398" operator="greaterThan">
      <formula>0</formula>
    </cfRule>
    <cfRule type="cellIs" dxfId="15" priority="399" operator="equal">
      <formula>0</formula>
    </cfRule>
  </conditionalFormatting>
  <conditionalFormatting sqref="D32:I32">
    <cfRule type="cellIs" dxfId="14" priority="331" operator="lessThan">
      <formula>0</formula>
    </cfRule>
    <cfRule type="cellIs" dxfId="13" priority="332" operator="greaterThan">
      <formula>0</formula>
    </cfRule>
    <cfRule type="cellIs" dxfId="12" priority="333" operator="equal">
      <formula>0</formula>
    </cfRule>
  </conditionalFormatting>
  <conditionalFormatting sqref="D59:I59">
    <cfRule type="cellIs" dxfId="11" priority="193" operator="lessThan">
      <formula>0</formula>
    </cfRule>
    <cfRule type="cellIs" dxfId="10" priority="194" operator="greaterThan">
      <formula>0</formula>
    </cfRule>
    <cfRule type="cellIs" dxfId="9" priority="195" operator="equal">
      <formula>0</formula>
    </cfRule>
  </conditionalFormatting>
  <conditionalFormatting sqref="D45:I45">
    <cfRule type="cellIs" dxfId="8" priority="162" operator="lessThan">
      <formula>0</formula>
    </cfRule>
    <cfRule type="cellIs" dxfId="7" priority="163" operator="greaterThan">
      <formula>0</formula>
    </cfRule>
    <cfRule type="cellIs" dxfId="6" priority="164" operator="equal">
      <formula>0</formula>
    </cfRule>
  </conditionalFormatting>
  <printOptions verticalCentered="1"/>
  <pageMargins left="0.15748031496062992" right="0.15748031496062992" top="0.74803149606299213" bottom="0.74803149606299213" header="0.31496062992125984" footer="0.15748031496062992"/>
  <pageSetup paperSize="5" scale="10" orientation="landscape" horizontalDpi="300" verticalDpi="300" r:id="rId1"/>
  <headerFooter alignWithMargins="0">
    <oddFooter>&amp;C&amp;12Página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S33"/>
  <sheetViews>
    <sheetView zoomScale="60" zoomScaleNormal="60" workbookViewId="0">
      <selection activeCell="P49" sqref="P49"/>
    </sheetView>
  </sheetViews>
  <sheetFormatPr baseColWidth="10" defaultColWidth="11.28515625" defaultRowHeight="18.75"/>
  <cols>
    <col min="1" max="1" width="7.5703125" style="2" customWidth="1"/>
    <col min="2" max="2" width="6.42578125" style="2" customWidth="1"/>
    <col min="3" max="3" width="6.85546875" style="2" customWidth="1"/>
    <col min="4" max="4" width="36" style="67" customWidth="1"/>
    <col min="5" max="5" width="23.42578125" style="59" customWidth="1"/>
    <col min="6" max="6" width="35" style="56" customWidth="1"/>
    <col min="7" max="7" width="18.7109375" style="56" customWidth="1"/>
    <col min="8" max="8" width="15.7109375" style="56" customWidth="1"/>
    <col min="9" max="9" width="12.5703125" style="56" customWidth="1"/>
    <col min="10" max="10" width="15.7109375" style="56" customWidth="1"/>
    <col min="11" max="11" width="27.28515625" style="56" customWidth="1"/>
    <col min="12" max="12" width="16.85546875" style="56" customWidth="1"/>
    <col min="13" max="16384" width="11.28515625" style="1"/>
  </cols>
  <sheetData>
    <row r="1" spans="1:19" ht="15" customHeight="1">
      <c r="F1" s="253"/>
      <c r="H1" s="253"/>
      <c r="I1" s="59" t="s">
        <v>8</v>
      </c>
      <c r="J1" s="253"/>
      <c r="K1" s="253"/>
      <c r="L1" s="253"/>
    </row>
    <row r="2" spans="1:19" ht="15" customHeight="1">
      <c r="F2" s="253"/>
      <c r="H2" s="253"/>
      <c r="I2" s="59" t="str">
        <f>'MADRE BANCO'!F2</f>
        <v>ADMINISTRACIÓN 2021-2024</v>
      </c>
      <c r="J2" s="253"/>
      <c r="K2" s="253"/>
      <c r="L2" s="253"/>
    </row>
    <row r="3" spans="1:19" ht="15" customHeight="1">
      <c r="F3" s="253"/>
      <c r="H3" s="253"/>
      <c r="I3" s="59" t="s">
        <v>170</v>
      </c>
      <c r="J3" s="253"/>
      <c r="K3" s="253"/>
      <c r="L3" s="253"/>
    </row>
    <row r="4" spans="1:19" ht="15" customHeight="1">
      <c r="F4" s="253"/>
      <c r="H4" s="253"/>
      <c r="I4" s="59" t="str">
        <f>'MADRE BANCO'!F4</f>
        <v>Nómina que corresponde a la   2DA.  (Segúnda    )QUINCENA   del mes de ABRIL de 2024.</v>
      </c>
      <c r="J4" s="253"/>
      <c r="K4" s="253"/>
      <c r="L4" s="253"/>
    </row>
    <row r="5" spans="1:19" ht="15" customHeight="1">
      <c r="D5" s="302"/>
      <c r="E5" s="370"/>
      <c r="F5" s="302"/>
      <c r="G5" s="302"/>
      <c r="H5" s="302"/>
      <c r="I5" s="302"/>
      <c r="J5" s="302"/>
      <c r="K5" s="302"/>
      <c r="L5" s="302"/>
    </row>
    <row r="6" spans="1:19" s="7" customFormat="1" ht="56.25" customHeight="1">
      <c r="A6" s="281" t="s">
        <v>290</v>
      </c>
      <c r="B6" s="281" t="s">
        <v>291</v>
      </c>
      <c r="C6" s="281" t="s">
        <v>292</v>
      </c>
      <c r="D6" s="254" t="s">
        <v>0</v>
      </c>
      <c r="E6" s="26" t="s">
        <v>199</v>
      </c>
      <c r="F6" s="26" t="s">
        <v>1</v>
      </c>
      <c r="G6" s="26" t="s">
        <v>2</v>
      </c>
      <c r="H6" s="26" t="s">
        <v>3</v>
      </c>
      <c r="I6" s="26" t="s">
        <v>4</v>
      </c>
      <c r="J6" s="26" t="s">
        <v>216</v>
      </c>
      <c r="K6" s="26" t="s">
        <v>226</v>
      </c>
      <c r="L6" s="26" t="s">
        <v>5</v>
      </c>
    </row>
    <row r="7" spans="1:19" ht="54.75" customHeight="1">
      <c r="A7" s="2">
        <v>1</v>
      </c>
      <c r="C7" s="2">
        <v>1</v>
      </c>
      <c r="D7" s="255" t="s">
        <v>364</v>
      </c>
      <c r="E7" s="257" t="s">
        <v>200</v>
      </c>
      <c r="F7" s="24" t="s">
        <v>453</v>
      </c>
      <c r="G7" s="258">
        <f>4000*1.04*1.05*1.05</f>
        <v>4586.4000000000005</v>
      </c>
      <c r="H7" s="258"/>
      <c r="I7" s="259"/>
      <c r="J7" s="259"/>
      <c r="K7" s="259"/>
      <c r="L7" s="259">
        <f>G7-H7+I7+J7+K7</f>
        <v>4586.4000000000005</v>
      </c>
    </row>
    <row r="8" spans="1:19" ht="54.75" customHeight="1">
      <c r="A8" s="2">
        <v>1</v>
      </c>
      <c r="B8" s="2">
        <v>1</v>
      </c>
      <c r="D8" s="255" t="s">
        <v>400</v>
      </c>
      <c r="E8" s="257" t="s">
        <v>200</v>
      </c>
      <c r="F8" s="24" t="s">
        <v>452</v>
      </c>
      <c r="G8" s="258">
        <f>1487*1.05*1.05*1.05</f>
        <v>1721.3883750000002</v>
      </c>
      <c r="H8" s="258"/>
      <c r="I8" s="259">
        <v>150</v>
      </c>
      <c r="J8" s="259"/>
      <c r="K8" s="259"/>
      <c r="L8" s="259">
        <f t="shared" ref="L8:L24" si="0">G8-H8+I8+J8+K8</f>
        <v>1871.3883750000002</v>
      </c>
    </row>
    <row r="9" spans="1:19" ht="54.75" customHeight="1">
      <c r="A9" s="2">
        <v>1</v>
      </c>
      <c r="C9" s="2">
        <v>1</v>
      </c>
      <c r="D9" s="60" t="s">
        <v>266</v>
      </c>
      <c r="E9" s="257" t="s">
        <v>200</v>
      </c>
      <c r="F9" s="270" t="s">
        <v>454</v>
      </c>
      <c r="G9" s="258">
        <f>1212*1.05*1.05*1.05</f>
        <v>1403.0415000000003</v>
      </c>
      <c r="H9" s="258"/>
      <c r="I9" s="258">
        <v>100</v>
      </c>
      <c r="J9" s="258"/>
      <c r="K9" s="259"/>
      <c r="L9" s="259">
        <f t="shared" si="0"/>
        <v>1503.0415000000003</v>
      </c>
    </row>
    <row r="10" spans="1:19" ht="54.75" customHeight="1">
      <c r="A10" s="2">
        <v>1</v>
      </c>
      <c r="B10" s="2">
        <v>1</v>
      </c>
      <c r="D10" s="60" t="s">
        <v>278</v>
      </c>
      <c r="E10" s="256" t="s">
        <v>200</v>
      </c>
      <c r="F10" s="270" t="s">
        <v>277</v>
      </c>
      <c r="G10" s="258">
        <f>2987*1.05*1.05*1.05</f>
        <v>3457.825875</v>
      </c>
      <c r="H10" s="258"/>
      <c r="I10" s="258">
        <v>90</v>
      </c>
      <c r="J10" s="258"/>
      <c r="K10" s="259"/>
      <c r="L10" s="259">
        <f t="shared" si="0"/>
        <v>3547.825875</v>
      </c>
      <c r="M10" s="4"/>
      <c r="N10" s="4"/>
      <c r="O10" s="4"/>
      <c r="P10" s="4"/>
      <c r="Q10" s="4"/>
      <c r="R10" s="4"/>
      <c r="S10" s="4"/>
    </row>
    <row r="11" spans="1:19" ht="54.75" customHeight="1">
      <c r="A11" s="9">
        <v>1</v>
      </c>
      <c r="B11" s="9"/>
      <c r="C11" s="9">
        <v>1</v>
      </c>
      <c r="D11" s="60" t="s">
        <v>372</v>
      </c>
      <c r="E11" s="256" t="s">
        <v>200</v>
      </c>
      <c r="F11" s="270" t="s">
        <v>368</v>
      </c>
      <c r="G11" s="258">
        <f>4000*1.04*1.05*1.05</f>
        <v>4586.4000000000005</v>
      </c>
      <c r="H11" s="258"/>
      <c r="I11" s="258"/>
      <c r="J11" s="258"/>
      <c r="K11" s="259"/>
      <c r="L11" s="259">
        <f t="shared" si="0"/>
        <v>4586.4000000000005</v>
      </c>
      <c r="M11" s="4"/>
      <c r="N11" s="4"/>
      <c r="O11" s="4"/>
      <c r="P11" s="4"/>
      <c r="Q11" s="4"/>
      <c r="R11" s="4"/>
      <c r="S11" s="4"/>
    </row>
    <row r="12" spans="1:19" ht="54.75" customHeight="1">
      <c r="A12" s="9">
        <v>1</v>
      </c>
      <c r="B12" s="9"/>
      <c r="C12" s="9">
        <v>1</v>
      </c>
      <c r="D12" s="60" t="s">
        <v>408</v>
      </c>
      <c r="E12" s="256" t="s">
        <v>210</v>
      </c>
      <c r="F12" s="270" t="s">
        <v>455</v>
      </c>
      <c r="G12" s="258">
        <f>3000*1.05*1.05</f>
        <v>3307.5</v>
      </c>
      <c r="H12" s="258"/>
      <c r="I12" s="258"/>
      <c r="J12" s="258"/>
      <c r="K12" s="259"/>
      <c r="L12" s="259">
        <f t="shared" si="0"/>
        <v>3307.5</v>
      </c>
      <c r="M12" s="4"/>
      <c r="N12" s="4"/>
      <c r="O12" s="4"/>
      <c r="P12" s="4"/>
      <c r="Q12" s="4"/>
      <c r="R12" s="4"/>
      <c r="S12" s="4"/>
    </row>
    <row r="13" spans="1:19" ht="54.75" customHeight="1">
      <c r="A13" s="9">
        <v>1</v>
      </c>
      <c r="B13" s="9">
        <v>1</v>
      </c>
      <c r="C13" s="9"/>
      <c r="D13" s="60" t="s">
        <v>370</v>
      </c>
      <c r="E13" s="256" t="s">
        <v>200</v>
      </c>
      <c r="F13" s="270" t="s">
        <v>371</v>
      </c>
      <c r="G13" s="258">
        <f>2700*1.05*1.05</f>
        <v>2976.75</v>
      </c>
      <c r="H13" s="258"/>
      <c r="I13" s="258"/>
      <c r="J13" s="258"/>
      <c r="K13" s="259"/>
      <c r="L13" s="259">
        <f t="shared" si="0"/>
        <v>2976.75</v>
      </c>
      <c r="M13" s="4"/>
      <c r="N13" s="4"/>
      <c r="O13" s="4"/>
      <c r="P13" s="4"/>
      <c r="Q13" s="4"/>
      <c r="R13" s="4"/>
      <c r="S13" s="4"/>
    </row>
    <row r="14" spans="1:19" ht="54.75" customHeight="1">
      <c r="A14" s="9">
        <v>1</v>
      </c>
      <c r="B14" s="9">
        <v>1</v>
      </c>
      <c r="C14" s="9"/>
      <c r="D14" s="60" t="s">
        <v>374</v>
      </c>
      <c r="E14" s="256" t="s">
        <v>200</v>
      </c>
      <c r="F14" s="270" t="s">
        <v>276</v>
      </c>
      <c r="G14" s="258">
        <f>2400*1.05*1.05</f>
        <v>2646</v>
      </c>
      <c r="H14" s="258"/>
      <c r="I14" s="258"/>
      <c r="J14" s="258"/>
      <c r="K14" s="259"/>
      <c r="L14" s="259">
        <f t="shared" si="0"/>
        <v>2646</v>
      </c>
      <c r="M14" s="4"/>
      <c r="N14" s="4"/>
      <c r="O14" s="4"/>
      <c r="P14" s="4"/>
      <c r="Q14" s="4"/>
      <c r="R14" s="4"/>
      <c r="S14" s="4"/>
    </row>
    <row r="15" spans="1:19" ht="54.75" customHeight="1">
      <c r="A15" s="9">
        <v>1</v>
      </c>
      <c r="B15" s="9">
        <v>1</v>
      </c>
      <c r="C15" s="9"/>
      <c r="D15" s="62" t="s">
        <v>363</v>
      </c>
      <c r="E15" s="256" t="s">
        <v>200</v>
      </c>
      <c r="F15" s="271" t="s">
        <v>440</v>
      </c>
      <c r="G15" s="258">
        <f>5350*1.05*1.05*1.05</f>
        <v>6193.2937499999998</v>
      </c>
      <c r="H15" s="258">
        <f>140*1.05*1.05*1.05</f>
        <v>162.0675</v>
      </c>
      <c r="I15" s="258"/>
      <c r="J15" s="258"/>
      <c r="K15" s="259"/>
      <c r="L15" s="259">
        <f t="shared" si="0"/>
        <v>6031.2262499999997</v>
      </c>
      <c r="M15" s="4"/>
      <c r="N15" s="4"/>
      <c r="O15" s="4"/>
      <c r="P15" s="4"/>
      <c r="Q15" s="4"/>
      <c r="R15" s="4"/>
      <c r="S15" s="4"/>
    </row>
    <row r="16" spans="1:19" ht="54.75" customHeight="1">
      <c r="A16" s="9">
        <v>1</v>
      </c>
      <c r="B16" s="9">
        <v>1</v>
      </c>
      <c r="C16" s="9"/>
      <c r="D16" s="62" t="s">
        <v>441</v>
      </c>
      <c r="E16" s="256" t="s">
        <v>200</v>
      </c>
      <c r="F16" s="271" t="s">
        <v>440</v>
      </c>
      <c r="G16" s="258">
        <f>5350*1.05</f>
        <v>5617.5</v>
      </c>
      <c r="H16" s="258"/>
      <c r="I16" s="258"/>
      <c r="J16" s="258"/>
      <c r="K16" s="259"/>
      <c r="L16" s="259">
        <f t="shared" si="0"/>
        <v>5617.5</v>
      </c>
      <c r="M16" s="4"/>
      <c r="N16" s="4"/>
      <c r="O16" s="4"/>
      <c r="P16" s="4"/>
      <c r="Q16" s="4"/>
      <c r="R16" s="4"/>
      <c r="S16" s="4"/>
    </row>
    <row r="17" spans="1:19" ht="54.75" customHeight="1">
      <c r="A17" s="9">
        <v>1</v>
      </c>
      <c r="B17" s="9">
        <v>1</v>
      </c>
      <c r="C17" s="9"/>
      <c r="D17" s="62" t="s">
        <v>467</v>
      </c>
      <c r="E17" s="256" t="s">
        <v>200</v>
      </c>
      <c r="F17" s="272" t="s">
        <v>468</v>
      </c>
      <c r="G17" s="258">
        <f>4800*1.05</f>
        <v>5040</v>
      </c>
      <c r="H17" s="258"/>
      <c r="I17" s="258"/>
      <c r="J17" s="258"/>
      <c r="K17" s="259"/>
      <c r="L17" s="259">
        <f t="shared" si="0"/>
        <v>5040</v>
      </c>
      <c r="M17" s="4"/>
      <c r="N17" s="4"/>
      <c r="O17" s="4"/>
      <c r="P17" s="4"/>
      <c r="Q17" s="4"/>
      <c r="R17" s="4"/>
      <c r="S17" s="4"/>
    </row>
    <row r="18" spans="1:19" ht="54.75" customHeight="1">
      <c r="A18" s="9">
        <v>1</v>
      </c>
      <c r="B18" s="9">
        <v>1</v>
      </c>
      <c r="C18" s="9"/>
      <c r="D18" s="62" t="s">
        <v>444</v>
      </c>
      <c r="E18" s="256" t="s">
        <v>210</v>
      </c>
      <c r="F18" s="272" t="s">
        <v>440</v>
      </c>
      <c r="G18" s="258">
        <f>5643.63*1.05</f>
        <v>5925.8115000000007</v>
      </c>
      <c r="H18" s="258">
        <f>147.63*1.05</f>
        <v>155.01150000000001</v>
      </c>
      <c r="I18" s="258"/>
      <c r="J18" s="258"/>
      <c r="K18" s="259"/>
      <c r="L18" s="259">
        <f t="shared" si="0"/>
        <v>5770.8000000000011</v>
      </c>
      <c r="M18" s="4"/>
      <c r="N18" s="4"/>
      <c r="O18" s="4"/>
      <c r="P18" s="4"/>
      <c r="Q18" s="4"/>
      <c r="R18" s="4"/>
      <c r="S18" s="4"/>
    </row>
    <row r="19" spans="1:19" s="15" customFormat="1" ht="54.75" customHeight="1">
      <c r="A19" s="19">
        <v>1</v>
      </c>
      <c r="B19" s="19">
        <v>1</v>
      </c>
      <c r="C19" s="19"/>
      <c r="D19" s="86" t="s">
        <v>425</v>
      </c>
      <c r="E19" s="256" t="s">
        <v>210</v>
      </c>
      <c r="F19" s="326" t="s">
        <v>386</v>
      </c>
      <c r="G19" s="326">
        <f>4190*1.05</f>
        <v>4399.5</v>
      </c>
      <c r="H19" s="326"/>
      <c r="I19" s="326">
        <v>90</v>
      </c>
      <c r="J19" s="374"/>
      <c r="K19" s="259"/>
      <c r="L19" s="259">
        <f t="shared" si="0"/>
        <v>4489.5</v>
      </c>
    </row>
    <row r="20" spans="1:19" s="15" customFormat="1" ht="54.75" customHeight="1">
      <c r="A20" s="19">
        <v>1</v>
      </c>
      <c r="B20" s="19"/>
      <c r="C20" s="19">
        <v>1</v>
      </c>
      <c r="D20" s="86" t="s">
        <v>393</v>
      </c>
      <c r="E20" s="256" t="s">
        <v>210</v>
      </c>
      <c r="F20" s="326" t="s">
        <v>386</v>
      </c>
      <c r="G20" s="326">
        <f>4190*1.05</f>
        <v>4399.5</v>
      </c>
      <c r="H20" s="374"/>
      <c r="I20" s="375">
        <v>90</v>
      </c>
      <c r="J20" s="374"/>
      <c r="K20" s="259"/>
      <c r="L20" s="259">
        <f t="shared" si="0"/>
        <v>4489.5</v>
      </c>
    </row>
    <row r="21" spans="1:19" s="15" customFormat="1" ht="54.75" customHeight="1">
      <c r="A21" s="19">
        <v>1</v>
      </c>
      <c r="B21" s="19">
        <v>1</v>
      </c>
      <c r="C21" s="19"/>
      <c r="D21" s="86" t="s">
        <v>478</v>
      </c>
      <c r="E21" s="256" t="s">
        <v>210</v>
      </c>
      <c r="F21" s="326" t="s">
        <v>440</v>
      </c>
      <c r="G21" s="326">
        <f>4000+800</f>
        <v>4800</v>
      </c>
      <c r="H21" s="374"/>
      <c r="I21" s="375"/>
      <c r="J21" s="374"/>
      <c r="K21" s="259"/>
      <c r="L21" s="259">
        <f t="shared" si="0"/>
        <v>4800</v>
      </c>
    </row>
    <row r="22" spans="1:19" s="15" customFormat="1" ht="54.75" customHeight="1">
      <c r="A22" s="19">
        <v>1</v>
      </c>
      <c r="B22" s="19">
        <v>1</v>
      </c>
      <c r="C22" s="19"/>
      <c r="D22" s="86" t="s">
        <v>479</v>
      </c>
      <c r="E22" s="256" t="s">
        <v>210</v>
      </c>
      <c r="F22" s="326" t="s">
        <v>230</v>
      </c>
      <c r="G22" s="326">
        <f>4580</f>
        <v>4580</v>
      </c>
      <c r="H22" s="374"/>
      <c r="I22" s="375"/>
      <c r="J22" s="374"/>
      <c r="K22" s="259"/>
      <c r="L22" s="259">
        <f t="shared" si="0"/>
        <v>4580</v>
      </c>
    </row>
    <row r="23" spans="1:19" s="15" customFormat="1" ht="54.75" customHeight="1">
      <c r="A23" s="19">
        <v>1</v>
      </c>
      <c r="B23" s="19">
        <v>1</v>
      </c>
      <c r="C23" s="19"/>
      <c r="D23" s="86" t="s">
        <v>496</v>
      </c>
      <c r="E23" s="256" t="s">
        <v>210</v>
      </c>
      <c r="F23" s="326" t="s">
        <v>495</v>
      </c>
      <c r="G23" s="326">
        <f>1984.5*2</f>
        <v>3969</v>
      </c>
      <c r="H23" s="374"/>
      <c r="I23" s="375"/>
      <c r="J23" s="374"/>
      <c r="K23" s="259"/>
      <c r="L23" s="259">
        <f t="shared" si="0"/>
        <v>3969</v>
      </c>
    </row>
    <row r="24" spans="1:19" s="15" customFormat="1" ht="54.75" customHeight="1" thickBot="1">
      <c r="A24" s="19">
        <v>1</v>
      </c>
      <c r="B24" s="19">
        <v>1</v>
      </c>
      <c r="C24" s="19"/>
      <c r="D24" s="86" t="s">
        <v>464</v>
      </c>
      <c r="E24" s="256" t="s">
        <v>210</v>
      </c>
      <c r="F24" s="326" t="s">
        <v>465</v>
      </c>
      <c r="G24" s="376">
        <f>3500*1.05</f>
        <v>3675</v>
      </c>
      <c r="H24" s="376"/>
      <c r="I24" s="380"/>
      <c r="J24" s="381"/>
      <c r="K24" s="382"/>
      <c r="L24" s="382">
        <f t="shared" si="0"/>
        <v>3675</v>
      </c>
    </row>
    <row r="25" spans="1:19" ht="30" customHeight="1" thickTop="1" thickBot="1">
      <c r="A25" s="21">
        <f>SUM(A7:A24)</f>
        <v>18</v>
      </c>
      <c r="B25" s="21">
        <f>SUM(B7:B24)</f>
        <v>13</v>
      </c>
      <c r="C25" s="21">
        <f>SUM(C7:C24)</f>
        <v>5</v>
      </c>
      <c r="D25" s="24"/>
      <c r="E25" s="257"/>
      <c r="F25" s="59" t="s">
        <v>6</v>
      </c>
      <c r="G25" s="260">
        <f t="shared" ref="G25:L25" si="1">SUM(G7:G24)</f>
        <v>73284.911000000007</v>
      </c>
      <c r="H25" s="260">
        <f t="shared" si="1"/>
        <v>317.07900000000001</v>
      </c>
      <c r="I25" s="260">
        <f t="shared" si="1"/>
        <v>520</v>
      </c>
      <c r="J25" s="260">
        <f t="shared" si="1"/>
        <v>0</v>
      </c>
      <c r="K25" s="260">
        <f t="shared" si="1"/>
        <v>0</v>
      </c>
      <c r="L25" s="260">
        <f t="shared" si="1"/>
        <v>73487.832000000009</v>
      </c>
      <c r="M25" s="4"/>
      <c r="N25" s="4"/>
      <c r="O25" s="4"/>
      <c r="P25" s="4"/>
      <c r="Q25" s="4"/>
      <c r="R25" s="4"/>
      <c r="S25" s="4"/>
    </row>
    <row r="26" spans="1:19" ht="35.25" customHeight="1" thickBot="1">
      <c r="D26" s="24"/>
      <c r="E26" s="261"/>
      <c r="F26" s="327" t="s">
        <v>206</v>
      </c>
      <c r="G26" s="262">
        <f>G25-[19]EVENTUALES!$H$24</f>
        <v>0</v>
      </c>
      <c r="H26" s="262">
        <f>H25-[1]EVENTUALES!$I$23</f>
        <v>0</v>
      </c>
      <c r="I26" s="262">
        <f>I25-[29]EVENTUALES!$J$24</f>
        <v>0</v>
      </c>
      <c r="J26" s="262">
        <f>J25-[2]EVENTUALES!$K$19</f>
        <v>0</v>
      </c>
      <c r="K26" s="262">
        <f>[14]EVENTUALES!$K$25</f>
        <v>0</v>
      </c>
      <c r="L26" s="262">
        <f>[14]EVENTUALES!$K$25</f>
        <v>0</v>
      </c>
    </row>
    <row r="27" spans="1:19" ht="18.75" customHeight="1">
      <c r="E27" s="263"/>
      <c r="F27" s="263" t="s">
        <v>205</v>
      </c>
      <c r="G27" s="264">
        <f>G25</f>
        <v>73284.911000000007</v>
      </c>
      <c r="H27" s="264">
        <f t="shared" ref="H27:L27" si="2">H25</f>
        <v>317.07900000000001</v>
      </c>
      <c r="I27" s="264">
        <f t="shared" si="2"/>
        <v>520</v>
      </c>
      <c r="J27" s="264">
        <f t="shared" si="2"/>
        <v>0</v>
      </c>
      <c r="K27" s="264">
        <f t="shared" si="2"/>
        <v>0</v>
      </c>
      <c r="L27" s="264">
        <f t="shared" si="2"/>
        <v>73487.832000000009</v>
      </c>
    </row>
    <row r="28" spans="1:19" ht="12.75" customHeight="1"/>
    <row r="29" spans="1:19" ht="12.75" customHeight="1"/>
    <row r="30" spans="1:19" ht="12.75" customHeight="1"/>
    <row r="31" spans="1:19" ht="12.75" customHeight="1">
      <c r="A31" s="2">
        <v>1</v>
      </c>
    </row>
    <row r="32" spans="1:19" ht="12.75" customHeight="1"/>
    <row r="33" spans="12:12" ht="12.75" customHeight="1">
      <c r="L33" s="274"/>
    </row>
  </sheetData>
  <autoFilter ref="A5:L27"/>
  <conditionalFormatting sqref="G26:L26">
    <cfRule type="cellIs" dxfId="5" priority="206" operator="lessThan">
      <formula>0</formula>
    </cfRule>
    <cfRule type="cellIs" dxfId="4" priority="207" operator="greaterThan">
      <formula>0</formula>
    </cfRule>
    <cfRule type="cellIs" dxfId="3" priority="20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P53"/>
  <sheetViews>
    <sheetView topLeftCell="D31" zoomScale="80" zoomScaleNormal="80" workbookViewId="0">
      <selection activeCell="F50" sqref="F50"/>
    </sheetView>
  </sheetViews>
  <sheetFormatPr baseColWidth="10" defaultRowHeight="15"/>
  <cols>
    <col min="1" max="1" width="5.28515625" style="17" hidden="1" customWidth="1"/>
    <col min="2" max="2" width="6.42578125" style="17" hidden="1" customWidth="1"/>
    <col min="3" max="3" width="7.7109375" style="17" hidden="1" customWidth="1"/>
    <col min="4" max="4" width="28.42578125" style="15" customWidth="1"/>
    <col min="5" max="5" width="11.7109375" customWidth="1"/>
    <col min="6" max="6" width="30.42578125" style="328" customWidth="1"/>
    <col min="7" max="7" width="17.42578125" style="348" customWidth="1"/>
    <col min="8" max="8" width="15.5703125" style="345" customWidth="1"/>
    <col min="9" max="9" width="16.85546875" style="354" customWidth="1"/>
    <col min="10" max="10" width="12.85546875" style="345" customWidth="1"/>
    <col min="11" max="11" width="24.140625" style="344" customWidth="1"/>
    <col min="12" max="12" width="18.140625" style="345" customWidth="1"/>
  </cols>
  <sheetData>
    <row r="1" spans="1:16" ht="15.75">
      <c r="D1" s="3"/>
      <c r="E1" s="10"/>
      <c r="F1" s="27"/>
      <c r="G1" s="336"/>
      <c r="H1" s="337"/>
      <c r="I1" s="349" t="s">
        <v>8</v>
      </c>
      <c r="J1" s="337"/>
      <c r="K1" s="361"/>
      <c r="L1" s="337"/>
    </row>
    <row r="2" spans="1:16" ht="15.75">
      <c r="D2" s="3"/>
      <c r="E2" s="10"/>
      <c r="F2" s="27"/>
      <c r="G2" s="336"/>
      <c r="H2" s="337"/>
      <c r="I2" s="349" t="s">
        <v>356</v>
      </c>
      <c r="J2" s="337"/>
      <c r="K2" s="361"/>
      <c r="L2" s="337"/>
    </row>
    <row r="3" spans="1:16" ht="15.75">
      <c r="D3" s="3"/>
      <c r="E3" s="10"/>
      <c r="F3" s="27"/>
      <c r="G3" s="336"/>
      <c r="H3" s="337"/>
      <c r="I3" s="349" t="s">
        <v>170</v>
      </c>
      <c r="J3" s="337"/>
      <c r="K3" s="361"/>
      <c r="L3" s="337"/>
    </row>
    <row r="4" spans="1:16" ht="15.75">
      <c r="D4" s="3"/>
      <c r="E4" s="10"/>
      <c r="F4" s="329"/>
      <c r="G4" s="336"/>
      <c r="H4" s="337"/>
      <c r="I4" s="349" t="str">
        <f>'MADRE BANCO'!F4</f>
        <v>Nómina que corresponde a la   2DA.  (Segúnda    )QUINCENA   del mes de ABRIL de 2024.</v>
      </c>
      <c r="J4" s="337"/>
      <c r="K4" s="361"/>
      <c r="L4" s="337"/>
    </row>
    <row r="5" spans="1:16" ht="18">
      <c r="D5" s="357"/>
      <c r="E5" s="11"/>
      <c r="F5" s="28"/>
      <c r="G5" s="338"/>
      <c r="H5" s="339"/>
      <c r="I5" s="350"/>
      <c r="J5" s="339"/>
      <c r="K5" s="362"/>
      <c r="L5" s="339"/>
    </row>
    <row r="6" spans="1:16" s="280" customFormat="1" ht="74.25" customHeight="1">
      <c r="A6" s="334" t="s">
        <v>290</v>
      </c>
      <c r="B6" s="334" t="s">
        <v>291</v>
      </c>
      <c r="C6" s="334" t="s">
        <v>292</v>
      </c>
      <c r="D6" s="333" t="s">
        <v>0</v>
      </c>
      <c r="E6" s="333" t="s">
        <v>199</v>
      </c>
      <c r="F6" s="333" t="s">
        <v>1</v>
      </c>
      <c r="G6" s="340" t="s">
        <v>2</v>
      </c>
      <c r="H6" s="341" t="s">
        <v>3</v>
      </c>
      <c r="I6" s="351" t="s">
        <v>4</v>
      </c>
      <c r="J6" s="341" t="s">
        <v>216</v>
      </c>
      <c r="K6" s="341" t="s">
        <v>226</v>
      </c>
      <c r="L6" s="341" t="s">
        <v>5</v>
      </c>
    </row>
    <row r="7" spans="1:16" s="15" customFormat="1" ht="30.75" customHeight="1">
      <c r="A7" s="18">
        <v>1</v>
      </c>
      <c r="B7" s="18">
        <v>1</v>
      </c>
      <c r="C7" s="18"/>
      <c r="D7" s="358" t="s">
        <v>460</v>
      </c>
      <c r="E7" s="8" t="s">
        <v>201</v>
      </c>
      <c r="F7" s="37" t="s">
        <v>401</v>
      </c>
      <c r="G7" s="342">
        <f>10439.52*1.05*1.05</f>
        <v>11509.570800000001</v>
      </c>
      <c r="H7" s="343">
        <f>458.64*1.05*1.05</f>
        <v>505.6506</v>
      </c>
      <c r="I7" s="352"/>
      <c r="J7" s="343"/>
      <c r="K7" s="343"/>
      <c r="L7" s="343">
        <f>G7-H7+I7+K7</f>
        <v>11003.9202</v>
      </c>
    </row>
    <row r="8" spans="1:16" s="15" customFormat="1" ht="44.25" customHeight="1">
      <c r="A8" s="19">
        <v>1</v>
      </c>
      <c r="B8" s="19">
        <v>1</v>
      </c>
      <c r="C8" s="19"/>
      <c r="D8" s="282" t="s">
        <v>405</v>
      </c>
      <c r="E8" s="8" t="s">
        <v>201</v>
      </c>
      <c r="F8" s="38" t="s">
        <v>430</v>
      </c>
      <c r="G8" s="342">
        <f>4410*1.05*1.05</f>
        <v>4862.0250000000005</v>
      </c>
      <c r="H8" s="343"/>
      <c r="I8" s="352">
        <v>90</v>
      </c>
      <c r="J8" s="343"/>
      <c r="K8" s="343"/>
      <c r="L8" s="343">
        <f t="shared" ref="L8:L35" si="0">G8-H8+I8+K8</f>
        <v>4952.0250000000005</v>
      </c>
    </row>
    <row r="9" spans="1:16" s="15" customFormat="1" ht="34.5" customHeight="1">
      <c r="A9" s="19">
        <v>1</v>
      </c>
      <c r="B9" s="19">
        <v>1</v>
      </c>
      <c r="C9" s="19"/>
      <c r="D9" s="282" t="s">
        <v>378</v>
      </c>
      <c r="E9" s="8" t="s">
        <v>201</v>
      </c>
      <c r="F9" s="38" t="s">
        <v>379</v>
      </c>
      <c r="G9" s="342">
        <f>4278.25*1.05*1.05</f>
        <v>4716.770625000001</v>
      </c>
      <c r="H9" s="343"/>
      <c r="I9" s="352"/>
      <c r="J9" s="343"/>
      <c r="K9" s="343"/>
      <c r="L9" s="343">
        <f t="shared" si="0"/>
        <v>4716.770625000001</v>
      </c>
    </row>
    <row r="10" spans="1:16" s="15" customFormat="1" ht="34.5" customHeight="1">
      <c r="A10" s="19">
        <v>1</v>
      </c>
      <c r="B10" s="19">
        <v>1</v>
      </c>
      <c r="C10" s="19"/>
      <c r="D10" s="282" t="s">
        <v>406</v>
      </c>
      <c r="E10" s="8" t="s">
        <v>201</v>
      </c>
      <c r="F10" s="38" t="s">
        <v>379</v>
      </c>
      <c r="G10" s="342">
        <f>4278.25*1.05*1.05</f>
        <v>4716.770625000001</v>
      </c>
      <c r="H10" s="343"/>
      <c r="I10" s="352"/>
      <c r="J10" s="343"/>
      <c r="K10" s="343"/>
      <c r="L10" s="343">
        <f t="shared" si="0"/>
        <v>4716.770625000001</v>
      </c>
    </row>
    <row r="11" spans="1:16" s="15" customFormat="1" ht="34.5" customHeight="1">
      <c r="A11" s="19">
        <v>1</v>
      </c>
      <c r="B11" s="19"/>
      <c r="C11" s="19">
        <v>1</v>
      </c>
      <c r="D11" s="282" t="s">
        <v>447</v>
      </c>
      <c r="E11" s="8" t="s">
        <v>201</v>
      </c>
      <c r="F11" s="38" t="s">
        <v>379</v>
      </c>
      <c r="G11" s="342">
        <f>4200*1.05</f>
        <v>4410</v>
      </c>
      <c r="H11" s="343"/>
      <c r="I11" s="352"/>
      <c r="J11" s="343"/>
      <c r="K11" s="343"/>
      <c r="L11" s="343">
        <f t="shared" si="0"/>
        <v>4410</v>
      </c>
    </row>
    <row r="12" spans="1:16" s="15" customFormat="1" ht="34.5" customHeight="1">
      <c r="A12" s="19">
        <v>1</v>
      </c>
      <c r="B12" s="19"/>
      <c r="C12" s="19">
        <v>1</v>
      </c>
      <c r="D12" s="282" t="s">
        <v>463</v>
      </c>
      <c r="E12" s="8" t="s">
        <v>201</v>
      </c>
      <c r="F12" s="38" t="s">
        <v>379</v>
      </c>
      <c r="G12" s="342">
        <f>4200*1.05</f>
        <v>4410</v>
      </c>
      <c r="H12" s="343"/>
      <c r="I12" s="352"/>
      <c r="J12" s="343"/>
      <c r="K12" s="343"/>
      <c r="L12" s="343">
        <f t="shared" si="0"/>
        <v>4410</v>
      </c>
    </row>
    <row r="13" spans="1:16" ht="37.5" customHeight="1">
      <c r="A13" s="17">
        <v>1</v>
      </c>
      <c r="C13" s="17">
        <v>1</v>
      </c>
      <c r="D13" s="282" t="s">
        <v>407</v>
      </c>
      <c r="E13" s="8" t="s">
        <v>201</v>
      </c>
      <c r="F13" s="38" t="s">
        <v>379</v>
      </c>
      <c r="G13" s="342">
        <f>4278.25*1.05*1.05</f>
        <v>4716.770625000001</v>
      </c>
      <c r="H13" s="344"/>
      <c r="I13" s="352">
        <v>90</v>
      </c>
      <c r="K13" s="343"/>
      <c r="L13" s="343">
        <f t="shared" si="0"/>
        <v>4806.770625000001</v>
      </c>
      <c r="M13" s="15"/>
      <c r="N13" s="15"/>
      <c r="O13" s="15"/>
      <c r="P13" s="15"/>
    </row>
    <row r="14" spans="1:16" ht="37.5" customHeight="1">
      <c r="A14" s="17">
        <v>1</v>
      </c>
      <c r="C14" s="17">
        <v>1</v>
      </c>
      <c r="D14" s="282" t="s">
        <v>466</v>
      </c>
      <c r="E14" s="8" t="s">
        <v>201</v>
      </c>
      <c r="F14" s="38" t="s">
        <v>379</v>
      </c>
      <c r="G14" s="342">
        <f>4200*1.05</f>
        <v>4410</v>
      </c>
      <c r="H14" s="344"/>
      <c r="I14" s="352"/>
      <c r="K14" s="343"/>
      <c r="L14" s="343">
        <f t="shared" si="0"/>
        <v>4410</v>
      </c>
      <c r="M14" s="15"/>
      <c r="N14" s="15"/>
      <c r="O14" s="15"/>
      <c r="P14" s="15"/>
    </row>
    <row r="15" spans="1:16" ht="37.5" customHeight="1">
      <c r="A15" s="17">
        <v>1</v>
      </c>
      <c r="B15" s="17">
        <v>1</v>
      </c>
      <c r="D15" s="282" t="s">
        <v>469</v>
      </c>
      <c r="E15" s="8" t="s">
        <v>201</v>
      </c>
      <c r="F15" s="38" t="s">
        <v>379</v>
      </c>
      <c r="G15" s="342">
        <f>4200*1.05</f>
        <v>4410</v>
      </c>
      <c r="H15" s="344"/>
      <c r="I15" s="352"/>
      <c r="K15" s="343"/>
      <c r="L15" s="343">
        <f t="shared" si="0"/>
        <v>4410</v>
      </c>
      <c r="M15" s="15"/>
      <c r="N15" s="15"/>
      <c r="O15" s="15"/>
      <c r="P15" s="15"/>
    </row>
    <row r="16" spans="1:16" ht="37.5" customHeight="1">
      <c r="A16" s="17">
        <v>1</v>
      </c>
      <c r="B16" s="17">
        <v>1</v>
      </c>
      <c r="D16" s="282" t="s">
        <v>470</v>
      </c>
      <c r="E16" s="8" t="s">
        <v>201</v>
      </c>
      <c r="F16" s="38" t="s">
        <v>379</v>
      </c>
      <c r="G16" s="342">
        <f>4200*1.05</f>
        <v>4410</v>
      </c>
      <c r="H16" s="344"/>
      <c r="I16" s="352"/>
      <c r="K16" s="343"/>
      <c r="L16" s="343">
        <f t="shared" si="0"/>
        <v>4410</v>
      </c>
      <c r="M16" s="15"/>
      <c r="N16" s="15"/>
      <c r="O16" s="15"/>
      <c r="P16" s="15"/>
    </row>
    <row r="17" spans="1:16" ht="37.5" customHeight="1">
      <c r="D17" s="282" t="s">
        <v>476</v>
      </c>
      <c r="E17" s="8" t="s">
        <v>201</v>
      </c>
      <c r="F17" s="38" t="s">
        <v>379</v>
      </c>
      <c r="G17" s="342">
        <f>4200*1.05</f>
        <v>4410</v>
      </c>
      <c r="H17" s="344"/>
      <c r="I17" s="352"/>
      <c r="K17" s="343"/>
      <c r="L17" s="343">
        <f t="shared" si="0"/>
        <v>4410</v>
      </c>
      <c r="M17" s="15"/>
      <c r="N17" s="15"/>
      <c r="O17" s="15"/>
      <c r="P17" s="15"/>
    </row>
    <row r="18" spans="1:16" ht="37.5" customHeight="1">
      <c r="D18" s="282" t="s">
        <v>499</v>
      </c>
      <c r="E18" s="8" t="s">
        <v>201</v>
      </c>
      <c r="F18" s="38" t="s">
        <v>379</v>
      </c>
      <c r="G18" s="342">
        <f>4200*1.05+1470</f>
        <v>5880</v>
      </c>
      <c r="H18" s="344"/>
      <c r="I18" s="352"/>
      <c r="K18" s="343"/>
      <c r="L18" s="343">
        <f t="shared" si="0"/>
        <v>5880</v>
      </c>
      <c r="M18" s="15"/>
      <c r="N18" s="15"/>
      <c r="O18" s="15"/>
      <c r="P18" s="15"/>
    </row>
    <row r="19" spans="1:16" s="15" customFormat="1" ht="34.5" customHeight="1">
      <c r="A19" s="19">
        <v>1</v>
      </c>
      <c r="B19" s="19"/>
      <c r="C19" s="19">
        <v>1</v>
      </c>
      <c r="D19" s="282" t="s">
        <v>399</v>
      </c>
      <c r="E19" s="8" t="s">
        <v>201</v>
      </c>
      <c r="F19" s="38" t="s">
        <v>254</v>
      </c>
      <c r="G19" s="342">
        <f t="shared" ref="G19:G23" si="1">3800*1.05*1.05</f>
        <v>4189.5</v>
      </c>
      <c r="H19" s="343"/>
      <c r="I19" s="352">
        <v>90</v>
      </c>
      <c r="J19" s="343"/>
      <c r="K19" s="343"/>
      <c r="L19" s="343">
        <f t="shared" si="0"/>
        <v>4279.5</v>
      </c>
    </row>
    <row r="20" spans="1:16" s="15" customFormat="1" ht="34.5" customHeight="1">
      <c r="A20" s="19">
        <v>1</v>
      </c>
      <c r="B20" s="19">
        <v>1</v>
      </c>
      <c r="C20" s="19"/>
      <c r="D20" s="282" t="s">
        <v>403</v>
      </c>
      <c r="E20" s="8" t="s">
        <v>201</v>
      </c>
      <c r="F20" s="311" t="s">
        <v>254</v>
      </c>
      <c r="G20" s="342">
        <f t="shared" si="1"/>
        <v>4189.5</v>
      </c>
      <c r="H20" s="342"/>
      <c r="I20" s="355">
        <v>90</v>
      </c>
      <c r="J20" s="343"/>
      <c r="K20" s="343"/>
      <c r="L20" s="343">
        <f t="shared" si="0"/>
        <v>4279.5</v>
      </c>
    </row>
    <row r="21" spans="1:16" s="15" customFormat="1" ht="34.5" customHeight="1">
      <c r="A21" s="19">
        <v>1</v>
      </c>
      <c r="B21" s="19">
        <v>1</v>
      </c>
      <c r="C21" s="19"/>
      <c r="D21" s="282" t="s">
        <v>417</v>
      </c>
      <c r="E21" s="8" t="s">
        <v>201</v>
      </c>
      <c r="F21" s="311" t="s">
        <v>254</v>
      </c>
      <c r="G21" s="342">
        <f t="shared" si="1"/>
        <v>4189.5</v>
      </c>
      <c r="H21" s="342"/>
      <c r="I21" s="355">
        <v>90</v>
      </c>
      <c r="J21" s="343"/>
      <c r="K21" s="343"/>
      <c r="L21" s="343">
        <f t="shared" si="0"/>
        <v>4279.5</v>
      </c>
    </row>
    <row r="22" spans="1:16" s="15" customFormat="1" ht="34.5" customHeight="1">
      <c r="A22" s="19">
        <v>1</v>
      </c>
      <c r="B22" s="19"/>
      <c r="C22" s="19">
        <v>1</v>
      </c>
      <c r="D22" s="282" t="s">
        <v>438</v>
      </c>
      <c r="E22" s="8" t="s">
        <v>201</v>
      </c>
      <c r="F22" s="311" t="s">
        <v>254</v>
      </c>
      <c r="G22" s="342">
        <f t="shared" si="1"/>
        <v>4189.5</v>
      </c>
      <c r="H22" s="342"/>
      <c r="I22" s="355">
        <v>90</v>
      </c>
      <c r="J22" s="343"/>
      <c r="K22" s="343"/>
      <c r="L22" s="343">
        <f t="shared" si="0"/>
        <v>4279.5</v>
      </c>
    </row>
    <row r="23" spans="1:16" s="15" customFormat="1" ht="34.5" customHeight="1">
      <c r="A23" s="19">
        <v>1</v>
      </c>
      <c r="B23" s="19">
        <v>1</v>
      </c>
      <c r="C23" s="19"/>
      <c r="D23" s="282" t="s">
        <v>443</v>
      </c>
      <c r="E23" s="8" t="s">
        <v>201</v>
      </c>
      <c r="F23" s="311" t="s">
        <v>254</v>
      </c>
      <c r="G23" s="342">
        <f t="shared" si="1"/>
        <v>4189.5</v>
      </c>
      <c r="H23" s="342"/>
      <c r="I23" s="355">
        <v>90</v>
      </c>
      <c r="J23" s="343"/>
      <c r="K23" s="343"/>
      <c r="L23" s="343">
        <f t="shared" si="0"/>
        <v>4279.5</v>
      </c>
    </row>
    <row r="24" spans="1:16" s="15" customFormat="1" ht="44.25" customHeight="1">
      <c r="A24" s="19">
        <v>1</v>
      </c>
      <c r="B24" s="19"/>
      <c r="C24" s="19">
        <v>1</v>
      </c>
      <c r="D24" s="282" t="s">
        <v>357</v>
      </c>
      <c r="E24" s="8" t="s">
        <v>201</v>
      </c>
      <c r="F24" s="311" t="s">
        <v>254</v>
      </c>
      <c r="G24" s="342">
        <f>4200*1.05*1.05*1.05</f>
        <v>4862.0250000000005</v>
      </c>
      <c r="H24" s="343"/>
      <c r="I24" s="352">
        <v>90</v>
      </c>
      <c r="J24" s="343"/>
      <c r="K24" s="343"/>
      <c r="L24" s="343">
        <f t="shared" si="0"/>
        <v>4952.0250000000005</v>
      </c>
    </row>
    <row r="25" spans="1:16" s="15" customFormat="1" ht="34.5" customHeight="1">
      <c r="A25" s="19">
        <v>1</v>
      </c>
      <c r="B25" s="19"/>
      <c r="C25" s="19">
        <v>1</v>
      </c>
      <c r="D25" s="282" t="s">
        <v>449</v>
      </c>
      <c r="E25" s="8" t="s">
        <v>201</v>
      </c>
      <c r="F25" s="311" t="s">
        <v>254</v>
      </c>
      <c r="G25" s="342">
        <f>3800*1.05*1.05</f>
        <v>4189.5</v>
      </c>
      <c r="H25" s="342"/>
      <c r="I25" s="355">
        <v>90</v>
      </c>
      <c r="J25" s="343"/>
      <c r="K25" s="343"/>
      <c r="L25" s="343">
        <f t="shared" si="0"/>
        <v>4279.5</v>
      </c>
    </row>
    <row r="26" spans="1:16" s="15" customFormat="1" ht="34.5" customHeight="1">
      <c r="A26" s="19"/>
      <c r="B26" s="19"/>
      <c r="C26" s="19"/>
      <c r="D26" s="282" t="s">
        <v>481</v>
      </c>
      <c r="E26" s="8" t="s">
        <v>201</v>
      </c>
      <c r="F26" s="311" t="s">
        <v>254</v>
      </c>
      <c r="G26" s="342">
        <f>3800*1.05*1.05</f>
        <v>4189.5</v>
      </c>
      <c r="H26" s="342"/>
      <c r="I26" s="355">
        <v>90</v>
      </c>
      <c r="J26" s="343"/>
      <c r="K26" s="343"/>
      <c r="L26" s="343">
        <f t="shared" si="0"/>
        <v>4279.5</v>
      </c>
    </row>
    <row r="27" spans="1:16" s="15" customFormat="1" ht="34.5" customHeight="1">
      <c r="A27" s="19">
        <v>1</v>
      </c>
      <c r="B27" s="19">
        <v>1</v>
      </c>
      <c r="C27" s="19"/>
      <c r="D27" s="282" t="s">
        <v>433</v>
      </c>
      <c r="E27" s="8" t="s">
        <v>201</v>
      </c>
      <c r="F27" s="38" t="s">
        <v>430</v>
      </c>
      <c r="G27" s="342">
        <f>4410*1.05*1.05</f>
        <v>4862.0250000000005</v>
      </c>
      <c r="H27" s="342"/>
      <c r="I27" s="355">
        <v>90</v>
      </c>
      <c r="J27" s="343"/>
      <c r="K27" s="343"/>
      <c r="L27" s="343">
        <f t="shared" si="0"/>
        <v>4952.0250000000005</v>
      </c>
    </row>
    <row r="28" spans="1:16" s="15" customFormat="1" ht="34.5" customHeight="1">
      <c r="A28" s="19"/>
      <c r="B28" s="19"/>
      <c r="C28" s="19"/>
      <c r="D28" s="282" t="s">
        <v>473</v>
      </c>
      <c r="E28" s="8" t="s">
        <v>201</v>
      </c>
      <c r="F28" s="38" t="s">
        <v>430</v>
      </c>
      <c r="G28" s="342">
        <f>4410*1.05*1.05</f>
        <v>4862.0250000000005</v>
      </c>
      <c r="H28" s="342"/>
      <c r="I28" s="355">
        <v>90</v>
      </c>
      <c r="J28" s="343"/>
      <c r="K28" s="343"/>
      <c r="L28" s="343">
        <f t="shared" si="0"/>
        <v>4952.0250000000005</v>
      </c>
    </row>
    <row r="29" spans="1:16" s="15" customFormat="1" ht="34.5" customHeight="1">
      <c r="A29" s="19"/>
      <c r="B29" s="19"/>
      <c r="C29" s="19"/>
      <c r="D29" s="396" t="s">
        <v>477</v>
      </c>
      <c r="E29" s="342" t="s">
        <v>201</v>
      </c>
      <c r="F29" s="311" t="s">
        <v>430</v>
      </c>
      <c r="G29" s="342">
        <f>4410*1.05*1.05</f>
        <v>4862.0250000000005</v>
      </c>
      <c r="H29" s="397"/>
      <c r="I29" s="355">
        <v>90</v>
      </c>
      <c r="J29" s="343"/>
      <c r="K29" s="343"/>
      <c r="L29" s="343">
        <f t="shared" si="0"/>
        <v>4952.0250000000005</v>
      </c>
    </row>
    <row r="30" spans="1:16" s="15" customFormat="1" ht="34.5" customHeight="1">
      <c r="A30" s="19"/>
      <c r="B30" s="19"/>
      <c r="C30" s="19"/>
      <c r="D30" s="282" t="s">
        <v>485</v>
      </c>
      <c r="E30" s="8" t="s">
        <v>201</v>
      </c>
      <c r="F30" s="38" t="s">
        <v>430</v>
      </c>
      <c r="G30" s="342">
        <f>4410*1.05*1.05</f>
        <v>4862.0250000000005</v>
      </c>
      <c r="H30" s="342"/>
      <c r="I30" s="355">
        <v>90</v>
      </c>
      <c r="J30" s="343"/>
      <c r="K30" s="343"/>
      <c r="L30" s="343">
        <f t="shared" si="0"/>
        <v>4952.0250000000005</v>
      </c>
    </row>
    <row r="31" spans="1:16" s="15" customFormat="1" ht="34.5" customHeight="1">
      <c r="A31" s="19"/>
      <c r="B31" s="19"/>
      <c r="C31" s="19"/>
      <c r="D31" s="282" t="s">
        <v>486</v>
      </c>
      <c r="E31" s="8" t="s">
        <v>201</v>
      </c>
      <c r="F31" s="38" t="s">
        <v>430</v>
      </c>
      <c r="G31" s="342">
        <f>G35</f>
        <v>4862.0250000000005</v>
      </c>
      <c r="H31" s="342"/>
      <c r="I31" s="355">
        <v>90</v>
      </c>
      <c r="J31" s="343"/>
      <c r="K31" s="343"/>
      <c r="L31" s="343">
        <f t="shared" si="0"/>
        <v>4952.0250000000005</v>
      </c>
    </row>
    <row r="32" spans="1:16" s="15" customFormat="1" ht="34.5" customHeight="1">
      <c r="A32" s="19"/>
      <c r="B32" s="19"/>
      <c r="C32" s="19"/>
      <c r="D32" s="282" t="s">
        <v>487</v>
      </c>
      <c r="E32" s="8" t="s">
        <v>201</v>
      </c>
      <c r="F32" s="38" t="s">
        <v>430</v>
      </c>
      <c r="G32" s="342">
        <f>G35</f>
        <v>4862.0250000000005</v>
      </c>
      <c r="H32" s="342"/>
      <c r="I32" s="355">
        <v>90</v>
      </c>
      <c r="J32" s="343"/>
      <c r="K32" s="343"/>
      <c r="L32" s="343">
        <f t="shared" si="0"/>
        <v>4952.0250000000005</v>
      </c>
    </row>
    <row r="33" spans="1:16" s="15" customFormat="1" ht="34.5" customHeight="1">
      <c r="A33" s="19"/>
      <c r="B33" s="19"/>
      <c r="C33" s="19"/>
      <c r="D33" s="282" t="s">
        <v>494</v>
      </c>
      <c r="E33" s="8" t="s">
        <v>201</v>
      </c>
      <c r="F33" s="38" t="s">
        <v>430</v>
      </c>
      <c r="G33" s="342">
        <f>G32</f>
        <v>4862.0250000000005</v>
      </c>
      <c r="H33" s="342"/>
      <c r="I33" s="355">
        <v>90</v>
      </c>
      <c r="J33" s="343"/>
      <c r="K33" s="343"/>
      <c r="L33" s="343">
        <f t="shared" si="0"/>
        <v>4952.0250000000005</v>
      </c>
    </row>
    <row r="34" spans="1:16" s="15" customFormat="1" ht="34.5" customHeight="1">
      <c r="A34" s="19"/>
      <c r="B34" s="19"/>
      <c r="C34" s="19"/>
      <c r="D34" s="282" t="s">
        <v>491</v>
      </c>
      <c r="E34" s="8" t="s">
        <v>201</v>
      </c>
      <c r="F34" s="38" t="s">
        <v>430</v>
      </c>
      <c r="G34" s="342">
        <f>G32</f>
        <v>4862.0250000000005</v>
      </c>
      <c r="H34" s="342"/>
      <c r="I34" s="355">
        <f>I32</f>
        <v>90</v>
      </c>
      <c r="J34" s="343"/>
      <c r="K34" s="343"/>
      <c r="L34" s="343">
        <f t="shared" si="0"/>
        <v>4952.0250000000005</v>
      </c>
    </row>
    <row r="35" spans="1:16" s="15" customFormat="1" ht="34.5" customHeight="1">
      <c r="A35" s="19"/>
      <c r="B35" s="19"/>
      <c r="C35" s="19"/>
      <c r="D35" s="282" t="s">
        <v>480</v>
      </c>
      <c r="E35" s="8" t="s">
        <v>201</v>
      </c>
      <c r="F35" s="38" t="s">
        <v>430</v>
      </c>
      <c r="G35" s="342">
        <f>4410*1.05*1.05</f>
        <v>4862.0250000000005</v>
      </c>
      <c r="H35" s="342"/>
      <c r="I35" s="355">
        <v>90</v>
      </c>
      <c r="J35" s="343"/>
      <c r="K35" s="343"/>
      <c r="L35" s="343">
        <f t="shared" si="0"/>
        <v>4952.0250000000005</v>
      </c>
    </row>
    <row r="37" spans="1:16" ht="16.5" thickBot="1">
      <c r="A37" s="20">
        <f>SUM(A7:A35)</f>
        <v>18</v>
      </c>
      <c r="B37" s="20">
        <f>SUM(B7:B35)</f>
        <v>10</v>
      </c>
      <c r="C37" s="20">
        <f>SUM(C7:C35)</f>
        <v>8</v>
      </c>
      <c r="E37" s="6"/>
      <c r="F37" s="53" t="s">
        <v>6</v>
      </c>
      <c r="G37" s="346">
        <f t="shared" ref="G37:L37" si="2">SUM(G7:G35)</f>
        <v>140808.65767499997</v>
      </c>
      <c r="H37" s="346">
        <f t="shared" si="2"/>
        <v>505.6506</v>
      </c>
      <c r="I37" s="346">
        <f t="shared" si="2"/>
        <v>1710</v>
      </c>
      <c r="J37" s="346">
        <f t="shared" si="2"/>
        <v>0</v>
      </c>
      <c r="K37" s="346">
        <f t="shared" si="2"/>
        <v>0</v>
      </c>
      <c r="L37" s="346">
        <f t="shared" si="2"/>
        <v>142013.00707499994</v>
      </c>
      <c r="M37" s="15"/>
      <c r="N37" s="15"/>
      <c r="O37" s="15"/>
      <c r="P37" s="15"/>
    </row>
    <row r="38" spans="1:16" ht="17.25" thickTop="1" thickBot="1">
      <c r="C38" s="17" t="s">
        <v>286</v>
      </c>
      <c r="E38" s="12"/>
      <c r="F38" s="169" t="s">
        <v>206</v>
      </c>
      <c r="G38" s="347">
        <f>G37-'[19]EVENTUALES SP'!$H$37</f>
        <v>0</v>
      </c>
      <c r="H38" s="347">
        <f>H37-'[1]EVENTUALES SP'!$I$34</f>
        <v>0</v>
      </c>
      <c r="I38" s="353">
        <f>I37-'[19]EVENTUALES SP'!$J$37</f>
        <v>0</v>
      </c>
      <c r="J38" s="347">
        <f>J37-'[18]EVENTUALES SP'!$K$31</f>
        <v>0</v>
      </c>
      <c r="K38" s="363"/>
      <c r="L38" s="347">
        <f>L37-'[19]EVENTUALES SP'!$M$37</f>
        <v>0</v>
      </c>
      <c r="M38" s="15"/>
      <c r="N38" s="15"/>
      <c r="O38" s="15"/>
      <c r="P38" s="15"/>
    </row>
    <row r="53" spans="1:1">
      <c r="A53" s="298" t="s">
        <v>286</v>
      </c>
    </row>
  </sheetData>
  <autoFilter ref="A5:L38"/>
  <phoneticPr fontId="20" type="noConversion"/>
  <conditionalFormatting sqref="G38:L38">
    <cfRule type="cellIs" dxfId="2" priority="12" operator="lessThan">
      <formula>0</formula>
    </cfRule>
    <cfRule type="cellIs" dxfId="1" priority="13" operator="greaterThan">
      <formula>0</formula>
    </cfRule>
    <cfRule type="cellIs" dxfId="0" priority="14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7" scale="3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MADRE BANCO</vt:lpstr>
      <vt:lpstr>EVENTUALES</vt:lpstr>
      <vt:lpstr>EVENTUALES SP</vt:lpstr>
      <vt:lpstr>'MADRE BANCO'!Área_de_impresión</vt:lpstr>
    </vt:vector>
  </TitlesOfParts>
  <Company>ayuntamiento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jesus</cp:lastModifiedBy>
  <cp:lastPrinted>2024-02-28T17:49:53Z</cp:lastPrinted>
  <dcterms:created xsi:type="dcterms:W3CDTF">2010-04-29T16:52:07Z</dcterms:created>
  <dcterms:modified xsi:type="dcterms:W3CDTF">2024-05-13T19:59:40Z</dcterms:modified>
</cp:coreProperties>
</file>