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840" tabRatio="530"/>
  </bookViews>
  <sheets>
    <sheet name="MADRE BANCO" sheetId="6" r:id="rId1"/>
    <sheet name="EVENTUALES" sheetId="7" r:id="rId2"/>
    <sheet name="EVENTUALES SP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1" hidden="1">EVENTUALES!$A$5:$L$27</definedName>
    <definedName name="_xlnm._FilterDatabase" localSheetId="2" hidden="1">'EVENTUALES SP'!$A$5:$L$39</definedName>
    <definedName name="_xlnm._FilterDatabase" localSheetId="0" hidden="1">'MADRE BANCO'!$A$6:$HM$185</definedName>
    <definedName name="_xlnm.Print_Area" localSheetId="0">'MADRE BANCO'!$A$1:$K$409</definedName>
  </definedNames>
  <calcPr calcId="124519"/>
</workbook>
</file>

<file path=xl/calcChain.xml><?xml version="1.0" encoding="utf-8"?>
<calcChain xmlns="http://schemas.openxmlformats.org/spreadsheetml/2006/main">
  <c r="G23" i="7"/>
  <c r="L23" s="1"/>
  <c r="F151" i="6"/>
  <c r="J52"/>
  <c r="K52" s="1"/>
  <c r="F150" l="1"/>
  <c r="J37" i="9" l="1"/>
  <c r="K37"/>
  <c r="K398" i="6" l="1"/>
  <c r="K155"/>
  <c r="F7" l="1"/>
  <c r="G7"/>
  <c r="F8"/>
  <c r="G8"/>
  <c r="F9"/>
  <c r="G9"/>
  <c r="F10"/>
  <c r="G10"/>
  <c r="F11"/>
  <c r="G11"/>
  <c r="F12"/>
  <c r="G12"/>
  <c r="F13"/>
  <c r="G13"/>
  <c r="F14"/>
  <c r="G14"/>
  <c r="F15"/>
  <c r="G15"/>
  <c r="H16"/>
  <c r="J16"/>
  <c r="J17" s="1"/>
  <c r="H17"/>
  <c r="I17"/>
  <c r="F19"/>
  <c r="F20" s="1"/>
  <c r="F21" s="1"/>
  <c r="G19"/>
  <c r="G20" s="1"/>
  <c r="G21" s="1"/>
  <c r="H20"/>
  <c r="H21" s="1"/>
  <c r="I20"/>
  <c r="I21" s="1"/>
  <c r="J20"/>
  <c r="J21" s="1"/>
  <c r="F23"/>
  <c r="G23"/>
  <c r="F24"/>
  <c r="G24"/>
  <c r="H25"/>
  <c r="H26" s="1"/>
  <c r="I25"/>
  <c r="I26" s="1"/>
  <c r="J25"/>
  <c r="J26" s="1"/>
  <c r="F28"/>
  <c r="G28"/>
  <c r="F29"/>
  <c r="G29"/>
  <c r="F30"/>
  <c r="G30"/>
  <c r="H31"/>
  <c r="H32" s="1"/>
  <c r="I31"/>
  <c r="I32" s="1"/>
  <c r="J31"/>
  <c r="J32" s="1"/>
  <c r="F34"/>
  <c r="G34"/>
  <c r="F35"/>
  <c r="G35"/>
  <c r="F36"/>
  <c r="K36" s="1"/>
  <c r="F37"/>
  <c r="G37"/>
  <c r="F38"/>
  <c r="G38"/>
  <c r="F39"/>
  <c r="K39" s="1"/>
  <c r="H40"/>
  <c r="H41" s="1"/>
  <c r="I40"/>
  <c r="I41" s="1"/>
  <c r="J40"/>
  <c r="J41" s="1"/>
  <c r="F43"/>
  <c r="G43"/>
  <c r="G44" s="1"/>
  <c r="G45" s="1"/>
  <c r="E44"/>
  <c r="H44"/>
  <c r="H45" s="1"/>
  <c r="I44"/>
  <c r="I45" s="1"/>
  <c r="J44"/>
  <c r="J45" s="1"/>
  <c r="F49"/>
  <c r="F50" s="1"/>
  <c r="G49"/>
  <c r="G50" s="1"/>
  <c r="H49"/>
  <c r="H50" s="1"/>
  <c r="I49"/>
  <c r="I50" s="1"/>
  <c r="J49"/>
  <c r="J50" s="1"/>
  <c r="K49"/>
  <c r="F53"/>
  <c r="G54"/>
  <c r="G55" s="1"/>
  <c r="H54"/>
  <c r="H55" s="1"/>
  <c r="I54"/>
  <c r="I55" s="1"/>
  <c r="F57"/>
  <c r="F58" s="1"/>
  <c r="F59" s="1"/>
  <c r="G57"/>
  <c r="G58" s="1"/>
  <c r="G59" s="1"/>
  <c r="H58"/>
  <c r="H59" s="1"/>
  <c r="I58"/>
  <c r="I59" s="1"/>
  <c r="J58"/>
  <c r="J59" s="1"/>
  <c r="G62"/>
  <c r="G63" s="1"/>
  <c r="H62"/>
  <c r="H63" s="1"/>
  <c r="I62"/>
  <c r="I63" s="1"/>
  <c r="F65"/>
  <c r="F61" s="1"/>
  <c r="G65"/>
  <c r="F66"/>
  <c r="G66"/>
  <c r="F67"/>
  <c r="F68"/>
  <c r="F69"/>
  <c r="F70"/>
  <c r="F71"/>
  <c r="G71"/>
  <c r="H72"/>
  <c r="H73" s="1"/>
  <c r="I72"/>
  <c r="I73" s="1"/>
  <c r="F75"/>
  <c r="G76"/>
  <c r="G77" s="1"/>
  <c r="H76"/>
  <c r="H77" s="1"/>
  <c r="I76"/>
  <c r="J76"/>
  <c r="J77" s="1"/>
  <c r="I77"/>
  <c r="F80"/>
  <c r="G80"/>
  <c r="G85" s="1"/>
  <c r="G86" s="1"/>
  <c r="F81"/>
  <c r="F82"/>
  <c r="K82" s="1"/>
  <c r="F83"/>
  <c r="K83" s="1"/>
  <c r="F84"/>
  <c r="H85"/>
  <c r="H86" s="1"/>
  <c r="I85"/>
  <c r="I86" s="1"/>
  <c r="F88"/>
  <c r="F89"/>
  <c r="G89"/>
  <c r="F90"/>
  <c r="F91"/>
  <c r="F92"/>
  <c r="F93"/>
  <c r="H94"/>
  <c r="H95" s="1"/>
  <c r="I94"/>
  <c r="I95" s="1"/>
  <c r="F97"/>
  <c r="F98"/>
  <c r="G98"/>
  <c r="F99"/>
  <c r="G99"/>
  <c r="F100"/>
  <c r="G100"/>
  <c r="F101"/>
  <c r="F102"/>
  <c r="G102"/>
  <c r="H103"/>
  <c r="H104" s="1"/>
  <c r="I103"/>
  <c r="I104" s="1"/>
  <c r="F106"/>
  <c r="F107"/>
  <c r="G108"/>
  <c r="G109" s="1"/>
  <c r="H108"/>
  <c r="H109" s="1"/>
  <c r="I108"/>
  <c r="I109" s="1"/>
  <c r="F111"/>
  <c r="G111"/>
  <c r="G113" s="1"/>
  <c r="G114" s="1"/>
  <c r="F112"/>
  <c r="H113"/>
  <c r="H114" s="1"/>
  <c r="I113"/>
  <c r="I114" s="1"/>
  <c r="F116"/>
  <c r="G116"/>
  <c r="G117" s="1"/>
  <c r="G118" s="1"/>
  <c r="H117"/>
  <c r="H118" s="1"/>
  <c r="I117"/>
  <c r="I118" s="1"/>
  <c r="K120"/>
  <c r="F121"/>
  <c r="F122" s="1"/>
  <c r="G121"/>
  <c r="G122" s="1"/>
  <c r="H121"/>
  <c r="H122" s="1"/>
  <c r="I121"/>
  <c r="I122" s="1"/>
  <c r="J121"/>
  <c r="J122" s="1"/>
  <c r="F124"/>
  <c r="G124"/>
  <c r="F125"/>
  <c r="G125"/>
  <c r="F126"/>
  <c r="F127"/>
  <c r="G127"/>
  <c r="F128"/>
  <c r="F129"/>
  <c r="G129"/>
  <c r="H130"/>
  <c r="H131" s="1"/>
  <c r="I130"/>
  <c r="I131" s="1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H143"/>
  <c r="H144" s="1"/>
  <c r="I143"/>
  <c r="I144" s="1"/>
  <c r="F146"/>
  <c r="K146" s="1"/>
  <c r="G147"/>
  <c r="G148" s="1"/>
  <c r="H147"/>
  <c r="H148" s="1"/>
  <c r="I147"/>
  <c r="I148" s="1"/>
  <c r="J147"/>
  <c r="J148" s="1"/>
  <c r="G150"/>
  <c r="F152"/>
  <c r="F153"/>
  <c r="F154"/>
  <c r="F156"/>
  <c r="F157"/>
  <c r="F158"/>
  <c r="F159"/>
  <c r="F160"/>
  <c r="F161"/>
  <c r="F162"/>
  <c r="F163"/>
  <c r="G163"/>
  <c r="F164"/>
  <c r="H165"/>
  <c r="H166" s="1"/>
  <c r="I165"/>
  <c r="I166" s="1"/>
  <c r="F168"/>
  <c r="F169"/>
  <c r="G169"/>
  <c r="G171" s="1"/>
  <c r="G172" s="1"/>
  <c r="F170"/>
  <c r="H171"/>
  <c r="H172" s="1"/>
  <c r="I171"/>
  <c r="F174"/>
  <c r="G174"/>
  <c r="G177" s="1"/>
  <c r="G178" s="1"/>
  <c r="F175"/>
  <c r="F176"/>
  <c r="H177"/>
  <c r="H178" s="1"/>
  <c r="I177"/>
  <c r="I178" s="1"/>
  <c r="F180"/>
  <c r="G180"/>
  <c r="F181"/>
  <c r="G181"/>
  <c r="F182"/>
  <c r="G182"/>
  <c r="H183"/>
  <c r="H184" s="1"/>
  <c r="I183"/>
  <c r="I184" s="1"/>
  <c r="F187"/>
  <c r="G187"/>
  <c r="F188"/>
  <c r="G188"/>
  <c r="F189"/>
  <c r="G189"/>
  <c r="F190"/>
  <c r="G190"/>
  <c r="H191"/>
  <c r="H192" s="1"/>
  <c r="I191"/>
  <c r="I192" s="1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H203"/>
  <c r="H204" s="1"/>
  <c r="I203"/>
  <c r="I204" s="1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H221"/>
  <c r="I221"/>
  <c r="I222" s="1"/>
  <c r="H222"/>
  <c r="F224"/>
  <c r="G224"/>
  <c r="F225"/>
  <c r="G225"/>
  <c r="F226"/>
  <c r="G226"/>
  <c r="H227"/>
  <c r="I227"/>
  <c r="I228" s="1"/>
  <c r="H228"/>
  <c r="K230"/>
  <c r="F231"/>
  <c r="F232" s="1"/>
  <c r="G231"/>
  <c r="G232" s="1"/>
  <c r="H231"/>
  <c r="H232" s="1"/>
  <c r="I231"/>
  <c r="J231"/>
  <c r="J232" s="1"/>
  <c r="I232"/>
  <c r="F234"/>
  <c r="G234"/>
  <c r="F235"/>
  <c r="G235"/>
  <c r="F236"/>
  <c r="G236"/>
  <c r="F237"/>
  <c r="G237"/>
  <c r="F238"/>
  <c r="F240"/>
  <c r="G240"/>
  <c r="F241"/>
  <c r="G241"/>
  <c r="F242"/>
  <c r="F243"/>
  <c r="F244"/>
  <c r="F245"/>
  <c r="F246"/>
  <c r="H247"/>
  <c r="H248" s="1"/>
  <c r="I247"/>
  <c r="I248" s="1"/>
  <c r="F251"/>
  <c r="G251"/>
  <c r="G252" s="1"/>
  <c r="G253" s="1"/>
  <c r="H252"/>
  <c r="H253" s="1"/>
  <c r="I252"/>
  <c r="I253" s="1"/>
  <c r="F255"/>
  <c r="G255"/>
  <c r="F256"/>
  <c r="G256"/>
  <c r="F257"/>
  <c r="G257"/>
  <c r="F258"/>
  <c r="F259"/>
  <c r="F260"/>
  <c r="F261"/>
  <c r="H262"/>
  <c r="H263" s="1"/>
  <c r="I262"/>
  <c r="I263" s="1"/>
  <c r="F265"/>
  <c r="G265"/>
  <c r="F266"/>
  <c r="G266"/>
  <c r="F267"/>
  <c r="H268"/>
  <c r="H269" s="1"/>
  <c r="I268"/>
  <c r="I269" s="1"/>
  <c r="F271"/>
  <c r="F272"/>
  <c r="F273"/>
  <c r="F274"/>
  <c r="F275"/>
  <c r="F276"/>
  <c r="F277"/>
  <c r="F278"/>
  <c r="F279"/>
  <c r="F280"/>
  <c r="H280"/>
  <c r="H288" s="1"/>
  <c r="H289" s="1"/>
  <c r="F281"/>
  <c r="G281"/>
  <c r="G288" s="1"/>
  <c r="G289" s="1"/>
  <c r="F282"/>
  <c r="F283"/>
  <c r="F284"/>
  <c r="F285"/>
  <c r="F287"/>
  <c r="I288"/>
  <c r="I289" s="1"/>
  <c r="F291"/>
  <c r="G291"/>
  <c r="F292"/>
  <c r="F293"/>
  <c r="F294"/>
  <c r="F295"/>
  <c r="F296"/>
  <c r="G296"/>
  <c r="F297"/>
  <c r="F298"/>
  <c r="G298"/>
  <c r="H299"/>
  <c r="H300" s="1"/>
  <c r="I299"/>
  <c r="I300" s="1"/>
  <c r="F302"/>
  <c r="F303" s="1"/>
  <c r="F304" s="1"/>
  <c r="G303"/>
  <c r="G304" s="1"/>
  <c r="H303"/>
  <c r="H304" s="1"/>
  <c r="I303"/>
  <c r="I304" s="1"/>
  <c r="F307"/>
  <c r="G307"/>
  <c r="F286"/>
  <c r="F308"/>
  <c r="G308"/>
  <c r="F309"/>
  <c r="F310"/>
  <c r="F311"/>
  <c r="G311"/>
  <c r="F312"/>
  <c r="G312"/>
  <c r="F313"/>
  <c r="H314"/>
  <c r="H315" s="1"/>
  <c r="I314"/>
  <c r="I315" s="1"/>
  <c r="F317"/>
  <c r="G317"/>
  <c r="G320" s="1"/>
  <c r="G321" s="1"/>
  <c r="F318"/>
  <c r="F319"/>
  <c r="H320"/>
  <c r="H321" s="1"/>
  <c r="I320"/>
  <c r="I321" s="1"/>
  <c r="F323"/>
  <c r="G323"/>
  <c r="F324"/>
  <c r="F325"/>
  <c r="G325"/>
  <c r="F326"/>
  <c r="F327"/>
  <c r="F328"/>
  <c r="F329"/>
  <c r="F330"/>
  <c r="H331"/>
  <c r="H332" s="1"/>
  <c r="I331"/>
  <c r="I332" s="1"/>
  <c r="F334"/>
  <c r="G334"/>
  <c r="F335"/>
  <c r="G335"/>
  <c r="F336"/>
  <c r="F337"/>
  <c r="F338"/>
  <c r="F339"/>
  <c r="F340"/>
  <c r="F341"/>
  <c r="F342"/>
  <c r="H343"/>
  <c r="H344" s="1"/>
  <c r="I343"/>
  <c r="I344" s="1"/>
  <c r="F346"/>
  <c r="F347"/>
  <c r="G348"/>
  <c r="G349" s="1"/>
  <c r="H348"/>
  <c r="H349" s="1"/>
  <c r="I348"/>
  <c r="I349" s="1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G392"/>
  <c r="G393" s="1"/>
  <c r="H392"/>
  <c r="H393" s="1"/>
  <c r="I392"/>
  <c r="I393" s="1"/>
  <c r="F395"/>
  <c r="F396"/>
  <c r="F397"/>
  <c r="F399"/>
  <c r="F400"/>
  <c r="F401"/>
  <c r="K401" s="1"/>
  <c r="F402"/>
  <c r="F403"/>
  <c r="G404"/>
  <c r="G405" s="1"/>
  <c r="H404"/>
  <c r="H405" s="1"/>
  <c r="I404"/>
  <c r="I405" s="1"/>
  <c r="F407"/>
  <c r="K317" l="1"/>
  <c r="F62"/>
  <c r="F392"/>
  <c r="F393" s="1"/>
  <c r="G299"/>
  <c r="G300" s="1"/>
  <c r="G183"/>
  <c r="G184" s="1"/>
  <c r="F31"/>
  <c r="F32" s="1"/>
  <c r="K13"/>
  <c r="K12"/>
  <c r="K8"/>
  <c r="G227"/>
  <c r="G228" s="1"/>
  <c r="K133"/>
  <c r="K38"/>
  <c r="K14"/>
  <c r="G72"/>
  <c r="G73" s="1"/>
  <c r="K37"/>
  <c r="G40"/>
  <c r="G41" s="1"/>
  <c r="K34"/>
  <c r="K15"/>
  <c r="K7"/>
  <c r="F262"/>
  <c r="F263" s="1"/>
  <c r="F147"/>
  <c r="F148" s="1"/>
  <c r="F103"/>
  <c r="F104" s="1"/>
  <c r="G268"/>
  <c r="G269" s="1"/>
  <c r="F177"/>
  <c r="F178" s="1"/>
  <c r="K57"/>
  <c r="K58" s="1"/>
  <c r="G31"/>
  <c r="G32" s="1"/>
  <c r="G25"/>
  <c r="G26" s="1"/>
  <c r="K23"/>
  <c r="G343"/>
  <c r="G344" s="1"/>
  <c r="K402"/>
  <c r="K371"/>
  <c r="K358"/>
  <c r="K337"/>
  <c r="K213"/>
  <c r="K195"/>
  <c r="K407"/>
  <c r="K400"/>
  <c r="K388"/>
  <c r="K383"/>
  <c r="K379"/>
  <c r="K374"/>
  <c r="K370"/>
  <c r="K364"/>
  <c r="K353"/>
  <c r="K340"/>
  <c r="K325"/>
  <c r="K312"/>
  <c r="K310"/>
  <c r="K293"/>
  <c r="K283"/>
  <c r="K280"/>
  <c r="K266"/>
  <c r="F268"/>
  <c r="F269" s="1"/>
  <c r="K261"/>
  <c r="K235"/>
  <c r="F247"/>
  <c r="F248" s="1"/>
  <c r="K220"/>
  <c r="K214"/>
  <c r="K201"/>
  <c r="K151"/>
  <c r="K368"/>
  <c r="K157"/>
  <c r="J130"/>
  <c r="J131" s="1"/>
  <c r="K376"/>
  <c r="K369"/>
  <c r="K354"/>
  <c r="K328"/>
  <c r="K318"/>
  <c r="K274"/>
  <c r="K136"/>
  <c r="K102"/>
  <c r="K98"/>
  <c r="K92"/>
  <c r="K69"/>
  <c r="K342"/>
  <c r="K159"/>
  <c r="F108"/>
  <c r="F109" s="1"/>
  <c r="K107"/>
  <c r="K397"/>
  <c r="K386"/>
  <c r="K378"/>
  <c r="K359"/>
  <c r="K267"/>
  <c r="K236"/>
  <c r="K399"/>
  <c r="K389"/>
  <c r="K382"/>
  <c r="K365"/>
  <c r="K355"/>
  <c r="K352"/>
  <c r="K339"/>
  <c r="K324"/>
  <c r="K307"/>
  <c r="F314"/>
  <c r="F315" s="1"/>
  <c r="K296"/>
  <c r="K287"/>
  <c r="G262"/>
  <c r="G263" s="1"/>
  <c r="K246"/>
  <c r="K239"/>
  <c r="G191"/>
  <c r="G192" s="1"/>
  <c r="G165"/>
  <c r="G166" s="1"/>
  <c r="K140"/>
  <c r="K137"/>
  <c r="K71"/>
  <c r="K396"/>
  <c r="K391"/>
  <c r="K385"/>
  <c r="K380"/>
  <c r="K375"/>
  <c r="K367"/>
  <c r="K360"/>
  <c r="K357"/>
  <c r="K341"/>
  <c r="K338"/>
  <c r="K329"/>
  <c r="K326"/>
  <c r="K313"/>
  <c r="K308"/>
  <c r="J303"/>
  <c r="J304" s="1"/>
  <c r="K294"/>
  <c r="K281"/>
  <c r="K277"/>
  <c r="K272"/>
  <c r="K259"/>
  <c r="K256"/>
  <c r="F252"/>
  <c r="F253" s="1"/>
  <c r="J252"/>
  <c r="J253" s="1"/>
  <c r="K245"/>
  <c r="K237"/>
  <c r="K231"/>
  <c r="K232" s="1"/>
  <c r="J227"/>
  <c r="J228" s="1"/>
  <c r="K215"/>
  <c r="K206"/>
  <c r="G203"/>
  <c r="K190"/>
  <c r="K189"/>
  <c r="K188"/>
  <c r="J191"/>
  <c r="J192" s="1"/>
  <c r="K180"/>
  <c r="F171"/>
  <c r="F172" s="1"/>
  <c r="K169"/>
  <c r="K163"/>
  <c r="K161"/>
  <c r="K152"/>
  <c r="K141"/>
  <c r="K129"/>
  <c r="K125"/>
  <c r="K111"/>
  <c r="K99"/>
  <c r="K93"/>
  <c r="K84"/>
  <c r="K81"/>
  <c r="J85"/>
  <c r="J86" s="1"/>
  <c r="K70"/>
  <c r="K66"/>
  <c r="K35"/>
  <c r="K29"/>
  <c r="K28"/>
  <c r="K9"/>
  <c r="K335"/>
  <c r="K319"/>
  <c r="K309"/>
  <c r="K286"/>
  <c r="K297"/>
  <c r="K291"/>
  <c r="K284"/>
  <c r="K282"/>
  <c r="K278"/>
  <c r="K275"/>
  <c r="K257"/>
  <c r="K243"/>
  <c r="K241"/>
  <c r="K240"/>
  <c r="K226"/>
  <c r="K225"/>
  <c r="G221"/>
  <c r="G222" s="1"/>
  <c r="K217"/>
  <c r="K216"/>
  <c r="K207"/>
  <c r="K198"/>
  <c r="K197"/>
  <c r="K196"/>
  <c r="K181"/>
  <c r="K175"/>
  <c r="K170"/>
  <c r="K162"/>
  <c r="K158"/>
  <c r="K156"/>
  <c r="K153"/>
  <c r="K147"/>
  <c r="K148" s="1"/>
  <c r="K142"/>
  <c r="K138"/>
  <c r="J143"/>
  <c r="J144" s="1"/>
  <c r="K126"/>
  <c r="F117"/>
  <c r="F118" s="1"/>
  <c r="J117"/>
  <c r="J118" s="1"/>
  <c r="K112"/>
  <c r="K106"/>
  <c r="J108"/>
  <c r="J109" s="1"/>
  <c r="K101"/>
  <c r="K100"/>
  <c r="K91"/>
  <c r="K89"/>
  <c r="K67"/>
  <c r="J62"/>
  <c r="J63" s="1"/>
  <c r="K19"/>
  <c r="K11"/>
  <c r="K10"/>
  <c r="K403"/>
  <c r="K390"/>
  <c r="K387"/>
  <c r="K384"/>
  <c r="K381"/>
  <c r="K377"/>
  <c r="K373"/>
  <c r="K372"/>
  <c r="K366"/>
  <c r="K363"/>
  <c r="K362"/>
  <c r="K361"/>
  <c r="K356"/>
  <c r="K347"/>
  <c r="F343"/>
  <c r="F344" s="1"/>
  <c r="K336"/>
  <c r="K330"/>
  <c r="K327"/>
  <c r="K311"/>
  <c r="K298"/>
  <c r="K295"/>
  <c r="K292"/>
  <c r="K285"/>
  <c r="K279"/>
  <c r="K276"/>
  <c r="K273"/>
  <c r="F288"/>
  <c r="F289" s="1"/>
  <c r="J288"/>
  <c r="J289" s="1"/>
  <c r="J268"/>
  <c r="J269" s="1"/>
  <c r="K260"/>
  <c r="K258"/>
  <c r="K244"/>
  <c r="K242"/>
  <c r="K238"/>
  <c r="G247"/>
  <c r="G248" s="1"/>
  <c r="J247"/>
  <c r="J248" s="1"/>
  <c r="K219"/>
  <c r="K218"/>
  <c r="K212"/>
  <c r="K211"/>
  <c r="K210"/>
  <c r="K209"/>
  <c r="K208"/>
  <c r="K202"/>
  <c r="K200"/>
  <c r="K199"/>
  <c r="J203"/>
  <c r="J204" s="1"/>
  <c r="F183"/>
  <c r="F184" s="1"/>
  <c r="K182"/>
  <c r="K176"/>
  <c r="J171"/>
  <c r="J172" s="1"/>
  <c r="K164"/>
  <c r="K160"/>
  <c r="K154"/>
  <c r="K150"/>
  <c r="K139"/>
  <c r="K135"/>
  <c r="K128"/>
  <c r="K127"/>
  <c r="J103"/>
  <c r="J104" s="1"/>
  <c r="K90"/>
  <c r="F85"/>
  <c r="F86" s="1"/>
  <c r="K68"/>
  <c r="J54"/>
  <c r="J55" s="1"/>
  <c r="K43"/>
  <c r="K30"/>
  <c r="K121"/>
  <c r="G94"/>
  <c r="G95" s="1"/>
  <c r="G143"/>
  <c r="G144" s="1"/>
  <c r="F94"/>
  <c r="F95" s="1"/>
  <c r="F404"/>
  <c r="F405" s="1"/>
  <c r="G331"/>
  <c r="G332" s="1"/>
  <c r="F221"/>
  <c r="F222" s="1"/>
  <c r="F130"/>
  <c r="F131" s="1"/>
  <c r="G103"/>
  <c r="G104" s="1"/>
  <c r="F76"/>
  <c r="F77" s="1"/>
  <c r="K75"/>
  <c r="K76" s="1"/>
  <c r="K77" s="1"/>
  <c r="K50"/>
  <c r="G16"/>
  <c r="G17" s="1"/>
  <c r="F331"/>
  <c r="F332" s="1"/>
  <c r="F320"/>
  <c r="F321" s="1"/>
  <c r="G314"/>
  <c r="G315" s="1"/>
  <c r="F299"/>
  <c r="F300" s="1"/>
  <c r="F227"/>
  <c r="F228" s="1"/>
  <c r="F203"/>
  <c r="F204" s="1"/>
  <c r="F191"/>
  <c r="F192" s="1"/>
  <c r="F165"/>
  <c r="F166" s="1"/>
  <c r="F143"/>
  <c r="F144" s="1"/>
  <c r="F72"/>
  <c r="F73" s="1"/>
  <c r="F348"/>
  <c r="F349" s="1"/>
  <c r="G130"/>
  <c r="G131" s="1"/>
  <c r="F54"/>
  <c r="F55" s="1"/>
  <c r="F40"/>
  <c r="F41" s="1"/>
  <c r="F25"/>
  <c r="F26" s="1"/>
  <c r="F113"/>
  <c r="F114" s="1"/>
  <c r="K24"/>
  <c r="F44"/>
  <c r="F45" s="1"/>
  <c r="F16"/>
  <c r="F17" s="1"/>
  <c r="F63" l="1"/>
  <c r="K31"/>
  <c r="K32" s="1"/>
  <c r="K40"/>
  <c r="K41" s="1"/>
  <c r="K16"/>
  <c r="K17" s="1"/>
  <c r="J348"/>
  <c r="J349" s="1"/>
  <c r="K320"/>
  <c r="K321" s="1"/>
  <c r="K408"/>
  <c r="K409" s="1"/>
  <c r="K165"/>
  <c r="K166" s="1"/>
  <c r="K299"/>
  <c r="K300" s="1"/>
  <c r="K113"/>
  <c r="K114" s="1"/>
  <c r="K183"/>
  <c r="K184" s="1"/>
  <c r="J262"/>
  <c r="J263" s="1"/>
  <c r="J392"/>
  <c r="J393" s="1"/>
  <c r="J72"/>
  <c r="J73" s="1"/>
  <c r="K53"/>
  <c r="K97"/>
  <c r="K168"/>
  <c r="K194"/>
  <c r="K234"/>
  <c r="K271"/>
  <c r="J331"/>
  <c r="J332" s="1"/>
  <c r="K20"/>
  <c r="K21" s="1"/>
  <c r="K134"/>
  <c r="K80"/>
  <c r="J177"/>
  <c r="J178" s="1"/>
  <c r="K224"/>
  <c r="K255"/>
  <c r="J343"/>
  <c r="J344" s="1"/>
  <c r="J320"/>
  <c r="J321" s="1"/>
  <c r="K124"/>
  <c r="J94"/>
  <c r="J95" s="1"/>
  <c r="K351"/>
  <c r="K65"/>
  <c r="K72" s="1"/>
  <c r="K73" s="1"/>
  <c r="K108"/>
  <c r="K109" s="1"/>
  <c r="K221"/>
  <c r="K222" s="1"/>
  <c r="K323"/>
  <c r="K174"/>
  <c r="K177" s="1"/>
  <c r="K178" s="1"/>
  <c r="K187"/>
  <c r="K251"/>
  <c r="K252" s="1"/>
  <c r="K253" s="1"/>
  <c r="K334"/>
  <c r="K343" s="1"/>
  <c r="K344" s="1"/>
  <c r="J404"/>
  <c r="J405" s="1"/>
  <c r="K88"/>
  <c r="K94" s="1"/>
  <c r="K95" s="1"/>
  <c r="K314"/>
  <c r="K315" s="1"/>
  <c r="K44"/>
  <c r="K45" s="1"/>
  <c r="J165"/>
  <c r="J166" s="1"/>
  <c r="K265"/>
  <c r="K61"/>
  <c r="K116"/>
  <c r="K117" s="1"/>
  <c r="K118" s="1"/>
  <c r="J299"/>
  <c r="J300" s="1"/>
  <c r="J113"/>
  <c r="J114" s="1"/>
  <c r="J183"/>
  <c r="J184" s="1"/>
  <c r="J221"/>
  <c r="J222" s="1"/>
  <c r="K302"/>
  <c r="K346"/>
  <c r="J314"/>
  <c r="J315" s="1"/>
  <c r="K395"/>
  <c r="K25"/>
  <c r="K26" s="1"/>
  <c r="K122"/>
  <c r="K171" l="1"/>
  <c r="K172" s="1"/>
  <c r="K348"/>
  <c r="K349" s="1"/>
  <c r="K268"/>
  <c r="K269" s="1"/>
  <c r="K262"/>
  <c r="K263" s="1"/>
  <c r="K143"/>
  <c r="K144" s="1"/>
  <c r="K288"/>
  <c r="K289" s="1"/>
  <c r="K103"/>
  <c r="K104" s="1"/>
  <c r="K331"/>
  <c r="K332" s="1"/>
  <c r="K392"/>
  <c r="K393" s="1"/>
  <c r="K303"/>
  <c r="K304" s="1"/>
  <c r="K191"/>
  <c r="K130"/>
  <c r="K131" s="1"/>
  <c r="K227"/>
  <c r="K228" s="1"/>
  <c r="K247"/>
  <c r="K248" s="1"/>
  <c r="K54"/>
  <c r="K55" s="1"/>
  <c r="K62"/>
  <c r="K63" s="1"/>
  <c r="K85"/>
  <c r="K86" s="1"/>
  <c r="K404"/>
  <c r="K405" s="1"/>
  <c r="K203"/>
  <c r="I34" i="9" l="1"/>
  <c r="I33" l="1"/>
  <c r="I37" s="1"/>
  <c r="G29"/>
  <c r="L29" s="1"/>
  <c r="G35" l="1"/>
  <c r="L35" s="1"/>
  <c r="G28"/>
  <c r="L28" s="1"/>
  <c r="G22" i="7"/>
  <c r="L22" s="1"/>
  <c r="G30" i="9" l="1"/>
  <c r="G31"/>
  <c r="G32" l="1"/>
  <c r="L31"/>
  <c r="L30"/>
  <c r="G33"/>
  <c r="L33" l="1"/>
  <c r="L32"/>
  <c r="G34"/>
  <c r="L34" s="1"/>
  <c r="G25"/>
  <c r="G21" i="7"/>
  <c r="L25" i="9" l="1"/>
  <c r="L21" i="7"/>
  <c r="G17" i="9" l="1"/>
  <c r="L17" s="1"/>
  <c r="G24" l="1"/>
  <c r="L24" s="1"/>
  <c r="G10" l="1"/>
  <c r="L10" s="1"/>
  <c r="G20" i="7" l="1"/>
  <c r="L20" s="1"/>
  <c r="G11"/>
  <c r="L11" s="1"/>
  <c r="G27" i="9" l="1"/>
  <c r="L27" l="1"/>
  <c r="G26"/>
  <c r="L26" s="1"/>
  <c r="G23"/>
  <c r="L23" s="1"/>
  <c r="G22"/>
  <c r="L22" s="1"/>
  <c r="G21"/>
  <c r="L21" s="1"/>
  <c r="G20"/>
  <c r="L20" s="1"/>
  <c r="G19"/>
  <c r="L19" s="1"/>
  <c r="G18"/>
  <c r="L18" s="1"/>
  <c r="G16"/>
  <c r="L16" s="1"/>
  <c r="G15"/>
  <c r="L15" s="1"/>
  <c r="G14"/>
  <c r="L14" s="1"/>
  <c r="G13"/>
  <c r="L13" s="1"/>
  <c r="G12"/>
  <c r="L12" s="1"/>
  <c r="G11"/>
  <c r="L11" s="1"/>
  <c r="G9"/>
  <c r="L9" s="1"/>
  <c r="G8"/>
  <c r="L8" s="1"/>
  <c r="H7"/>
  <c r="H37" s="1"/>
  <c r="G7"/>
  <c r="G24" i="7"/>
  <c r="L24" s="1"/>
  <c r="G18"/>
  <c r="G19"/>
  <c r="L19" s="1"/>
  <c r="H18"/>
  <c r="G17"/>
  <c r="L17" s="1"/>
  <c r="G16"/>
  <c r="L16" s="1"/>
  <c r="H15"/>
  <c r="G15"/>
  <c r="G14"/>
  <c r="L14" s="1"/>
  <c r="G13"/>
  <c r="L13" s="1"/>
  <c r="G12"/>
  <c r="L12" s="1"/>
  <c r="G10"/>
  <c r="L10" s="1"/>
  <c r="G9"/>
  <c r="L9" s="1"/>
  <c r="G8"/>
  <c r="L8" s="1"/>
  <c r="G7"/>
  <c r="L7" s="1"/>
  <c r="L15" l="1"/>
  <c r="G37" i="9"/>
  <c r="G38" s="1"/>
  <c r="L7"/>
  <c r="L37" s="1"/>
  <c r="L38" s="1"/>
  <c r="L18" i="7"/>
  <c r="I38" i="9"/>
  <c r="C25" i="7" l="1"/>
  <c r="B25"/>
  <c r="A25"/>
  <c r="A37" i="9" l="1"/>
  <c r="I25" i="7" l="1"/>
  <c r="I26" s="1"/>
  <c r="J25"/>
  <c r="K25"/>
  <c r="H38" i="9" l="1"/>
  <c r="L25" i="7" l="1"/>
  <c r="G25"/>
  <c r="G26" s="1"/>
  <c r="H25"/>
  <c r="H26" s="1"/>
  <c r="I4" i="9" l="1"/>
  <c r="H408" i="6" l="1"/>
  <c r="I27" i="7" l="1"/>
  <c r="C37" i="9"/>
  <c r="B37"/>
  <c r="G408" i="6" l="1"/>
  <c r="I408"/>
  <c r="J27" i="7" l="1"/>
  <c r="J408" i="6" l="1"/>
  <c r="J409" s="1"/>
  <c r="F408"/>
  <c r="F409" s="1"/>
  <c r="L26" i="7" l="1"/>
  <c r="H27" l="1"/>
  <c r="I4" l="1"/>
  <c r="I2"/>
  <c r="J26" l="1"/>
  <c r="G39" i="9" l="1"/>
  <c r="L39" l="1"/>
  <c r="I39" l="1"/>
  <c r="J39" l="1"/>
  <c r="G409" i="6" l="1"/>
  <c r="H409"/>
  <c r="I409"/>
  <c r="H39" i="9" l="1"/>
  <c r="K26" i="7" l="1"/>
  <c r="G27" l="1"/>
  <c r="L27" l="1"/>
  <c r="K27"/>
  <c r="J38" i="9" l="1"/>
</calcChain>
</file>

<file path=xl/sharedStrings.xml><?xml version="1.0" encoding="utf-8"?>
<sst xmlns="http://schemas.openxmlformats.org/spreadsheetml/2006/main" count="1612" uniqueCount="746">
  <si>
    <t>NOMBRE</t>
  </si>
  <si>
    <t>PUESTO</t>
  </si>
  <si>
    <t>SUELDO</t>
  </si>
  <si>
    <t>RETENCION</t>
  </si>
  <si>
    <t>S.E.</t>
  </si>
  <si>
    <t>SUELDO NETO</t>
  </si>
  <si>
    <t>TOTAL</t>
  </si>
  <si>
    <t>REGIDORES</t>
  </si>
  <si>
    <t>CURP</t>
  </si>
  <si>
    <t>CAOR760214MJCHRC06</t>
  </si>
  <si>
    <t>HUVE800228MJCRLL01</t>
  </si>
  <si>
    <t>SOGC810314MJCTNR06</t>
  </si>
  <si>
    <t>NEAV770731MJCRSR02</t>
  </si>
  <si>
    <t>BIVP930408MJCRLR04</t>
  </si>
  <si>
    <t>OEMG740225HJCBRS08</t>
  </si>
  <si>
    <t>TUVY560927HJCRLG03</t>
  </si>
  <si>
    <t>BAHA720710HJCRRL03</t>
  </si>
  <si>
    <t>NASA850225HJCVRL02</t>
  </si>
  <si>
    <t>DARJ710720HJCVBM04</t>
  </si>
  <si>
    <t>GACA840301HJCRSB04</t>
  </si>
  <si>
    <t>LOMF760422HDFPYR01</t>
  </si>
  <si>
    <t>HEAS780416MJCRNC02</t>
  </si>
  <si>
    <t>AAAC760219MJCLLR07</t>
  </si>
  <si>
    <t>OOAJ710628HJCCRS01</t>
  </si>
  <si>
    <t>LELJ640627HMNMMV06</t>
  </si>
  <si>
    <t>ZAMJ730304HJCRRN07</t>
  </si>
  <si>
    <t>GAMA501116HJCRDN01</t>
  </si>
  <si>
    <t>ZAMG760922HJCRRR00</t>
  </si>
  <si>
    <t>LORS610626HJCYDR05</t>
  </si>
  <si>
    <t>VIPJ620628HJCLRN02</t>
  </si>
  <si>
    <t>CAMM890118HJCSRR08</t>
  </si>
  <si>
    <t>TUVR481209HJCRLB08</t>
  </si>
  <si>
    <t>NEAL790624HJCRSS02</t>
  </si>
  <si>
    <t>CAMJ731029HJCMRN05</t>
  </si>
  <si>
    <t>SACJ561212HJCLSS02</t>
  </si>
  <si>
    <t>JASF630713HJCRLR03</t>
  </si>
  <si>
    <t>BEDJ860518MJCRZN00</t>
  </si>
  <si>
    <t>ZAVJ811207HJCRLS01</t>
  </si>
  <si>
    <t>RUGS701227HJCZNL07</t>
  </si>
  <si>
    <t>PEFJ400512HJCRLX03</t>
  </si>
  <si>
    <t>ZARM780919HJCRZR03</t>
  </si>
  <si>
    <t>PEMG760827HJCRRD03</t>
  </si>
  <si>
    <t>LELJ560505HJCNPS08</t>
  </si>
  <si>
    <t>BAMJ600304HJCRLN08</t>
  </si>
  <si>
    <t>ZALF891004HJCRPR05</t>
  </si>
  <si>
    <t>AAHF530420HJCVRL04</t>
  </si>
  <si>
    <t>QUMM701209HJCNDG06</t>
  </si>
  <si>
    <t>COFF670625HJCRLR09</t>
  </si>
  <si>
    <t>OOSD710305HJCRPV06</t>
  </si>
  <si>
    <t>MEFR820220HJCNLB03</t>
  </si>
  <si>
    <t>RARE860410MJCMML02</t>
  </si>
  <si>
    <t>RARY890913MJCMMS02</t>
  </si>
  <si>
    <t>ROZS520511HJCDRL09</t>
  </si>
  <si>
    <t>MAOI490129HJCRCS03</t>
  </si>
  <si>
    <t>FOBD860104MJCLLN08</t>
  </si>
  <si>
    <t>GUGC910609MJCZRR06</t>
  </si>
  <si>
    <t>GAGR721118HJCRZB09</t>
  </si>
  <si>
    <t>MEVR771118HJCDZM04</t>
  </si>
  <si>
    <t>ZACF600913HJCRSR04</t>
  </si>
  <si>
    <t>HEGG880604HJCRRS02</t>
  </si>
  <si>
    <t>OEMR410116HGTRRL03</t>
  </si>
  <si>
    <t>TACR711122HJCBSF09</t>
  </si>
  <si>
    <t>LALS660429HJCRRG03</t>
  </si>
  <si>
    <t>RILF841121HJCCPR04</t>
  </si>
  <si>
    <t>ZARM700916HDFRMN09</t>
  </si>
  <si>
    <t>CURI900116HJCRMS02</t>
  </si>
  <si>
    <t>PASG750428MJCLLD00</t>
  </si>
  <si>
    <t>ROZM930623HJCDRR05</t>
  </si>
  <si>
    <t>PEAJ750706HJCRGS03</t>
  </si>
  <si>
    <t>ROHJ590630HJCJRN04</t>
  </si>
  <si>
    <t>MARJ801128HDFRJN02</t>
  </si>
  <si>
    <t>GAGM570927HJCRTG04</t>
  </si>
  <si>
    <t>ROGG591203MJCDRL06</t>
  </si>
  <si>
    <t>LOGP851018MTCPLL05</t>
  </si>
  <si>
    <t>BAGG590811HJCNNR00</t>
  </si>
  <si>
    <t>TOZR610212HJCRNG01</t>
  </si>
  <si>
    <t>LEGJ500901HMNMRN06</t>
  </si>
  <si>
    <t>CAGJ550417HJCSRS14</t>
  </si>
  <si>
    <t>TEAM700409HJCRRG08</t>
  </si>
  <si>
    <t>GORA560709HJCNDL02</t>
  </si>
  <si>
    <t>MANM850515HJCRVG02</t>
  </si>
  <si>
    <t>FAGP520619HJCLRD04</t>
  </si>
  <si>
    <t>CARJ911213HJCRVN03</t>
  </si>
  <si>
    <t>MOSS770706MJCRRL04</t>
  </si>
  <si>
    <t>REAJ770218HJCXLN06</t>
  </si>
  <si>
    <t>NACJ640524HJCVMV07</t>
  </si>
  <si>
    <t>BAAC631023HJCNLR06</t>
  </si>
  <si>
    <t>GOTA791217HJCNVB08</t>
  </si>
  <si>
    <t>GOVC680426HJCNRR07</t>
  </si>
  <si>
    <t>LOVG710805HJCPZR02</t>
  </si>
  <si>
    <t>GOSR670711HJCMTM05</t>
  </si>
  <si>
    <t>AAGR751002HJCLZG03</t>
  </si>
  <si>
    <t>GABJ811024MMNRRL05</t>
  </si>
  <si>
    <t>HEZJ570406HJCRXN00</t>
  </si>
  <si>
    <t>CEGG710604HJCRLR08</t>
  </si>
  <si>
    <t>COGF680424HJCRRD08</t>
  </si>
  <si>
    <t>ROGJ710620HJCDNS08</t>
  </si>
  <si>
    <t>ZERA780322HMNNDN09</t>
  </si>
  <si>
    <t>ZERM760728HMNNDN07</t>
  </si>
  <si>
    <t>OEMJ600308HJCCRN04</t>
  </si>
  <si>
    <t>MARJ640628HJCCMN09</t>
  </si>
  <si>
    <t>RONR480502HMNDGM07</t>
  </si>
  <si>
    <t>AIHN900307HJCLRX05</t>
  </si>
  <si>
    <t>ROZS830227HJCBNM00</t>
  </si>
  <si>
    <t>MAMC520716MJCCRL09</t>
  </si>
  <si>
    <t>TACJ570714MJCBSS00</t>
  </si>
  <si>
    <t>OOLB431011HJCLPR04</t>
  </si>
  <si>
    <t>NEBL570327HJCRRS00</t>
  </si>
  <si>
    <t>LAPR751117MJCLRF04</t>
  </si>
  <si>
    <t>TECE580419MJCRRV02</t>
  </si>
  <si>
    <t>RABJ761103MJCMRN07</t>
  </si>
  <si>
    <t>HUAC271223MJCRVL05</t>
  </si>
  <si>
    <t>CALM471004HJCMRR06</t>
  </si>
  <si>
    <t>PEFR440728HJCRLB09</t>
  </si>
  <si>
    <t>PABA480611HJCDRN04</t>
  </si>
  <si>
    <t>BAXJ520923HMNRXS00</t>
  </si>
  <si>
    <t>COJM600126HJCRMG09</t>
  </si>
  <si>
    <t>FOHE851220MJCLRS07</t>
  </si>
  <si>
    <t>CARS930322MJCMZS03</t>
  </si>
  <si>
    <t>NASS711014HJCVRR01</t>
  </si>
  <si>
    <t>MAGC780913MJCNRR08</t>
  </si>
  <si>
    <t>BOHS780911MMNRRN01</t>
  </si>
  <si>
    <t>ROCJ790425HDFDSS05</t>
  </si>
  <si>
    <t>BAZH660407MDFRRL00</t>
  </si>
  <si>
    <t>HEAT731212HJCRLR16</t>
  </si>
  <si>
    <t>RONR590815HJCSXM05</t>
  </si>
  <si>
    <t>GACJ430417HJCRRS03</t>
  </si>
  <si>
    <t>ROMR730123HJCDRG08</t>
  </si>
  <si>
    <t>GOBIERNO MUNICIPAL DE AYOTLÁN, JALISCO</t>
  </si>
  <si>
    <t>Secretaria.</t>
  </si>
  <si>
    <t>Auxiliar.</t>
  </si>
  <si>
    <t>Rocio Patricia Chávez Ortiz.</t>
  </si>
  <si>
    <t>Fernando López Mayén.</t>
  </si>
  <si>
    <t>María del Socorro Hernández Andrade.</t>
  </si>
  <si>
    <t>Susana Camarena Rizo.</t>
  </si>
  <si>
    <t>Nadia Elizabeth Casillas Lara.</t>
  </si>
  <si>
    <t>María Cristina Alvarado Álvarez.</t>
  </si>
  <si>
    <t>Sandra Borja Hurtado.</t>
  </si>
  <si>
    <t>Miguel Ángel Escobedo Alatorre.</t>
  </si>
  <si>
    <t>Regidor.</t>
  </si>
  <si>
    <t>Auxiliar Administrativo.</t>
  </si>
  <si>
    <t>Secretaria de Ingresos.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</si>
  <si>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</si>
  <si>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</si>
  <si>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</si>
  <si>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</si>
  <si>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</si>
  <si>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</si>
  <si>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Hilda Mireya Barcenas Zaragoza.</t>
  </si>
  <si>
    <t>Ramiro Rosas Nuñez.</t>
  </si>
  <si>
    <t>Auxiliar Técnico.</t>
  </si>
  <si>
    <t>Juan Pablo Cárdenas Rivera.</t>
  </si>
  <si>
    <t>Elizabeth Ramírez Ramírez.</t>
  </si>
  <si>
    <t>Yessica Maricela Ramírez Ramírez.</t>
  </si>
  <si>
    <t>José García Cordova.</t>
  </si>
  <si>
    <t>Asesor Jurídico.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</si>
  <si>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</si>
  <si>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</si>
  <si>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</si>
  <si>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</si>
  <si>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</si>
  <si>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María Guadalupe Palafox Silva.</t>
  </si>
  <si>
    <t>Francisco Javier Rico López.</t>
  </si>
  <si>
    <t>Carmina Yadira Manriquez García.</t>
  </si>
  <si>
    <t>Comandante.</t>
  </si>
  <si>
    <t>Sallym Morales Serratos.</t>
  </si>
  <si>
    <t>Ma. Del Refugio Llamas Parada.</t>
  </si>
  <si>
    <t>Juan Gabriel Rea Álvarez.</t>
  </si>
  <si>
    <t>Teniente.</t>
  </si>
  <si>
    <t>Javier Navarro Camarena.</t>
  </si>
  <si>
    <t>Rogelio García Díaz.</t>
  </si>
  <si>
    <t>Primera.</t>
  </si>
  <si>
    <t>Abel González Tovar.</t>
  </si>
  <si>
    <t>Carlos González Vargas.</t>
  </si>
  <si>
    <t>Gerardo López Vázquez.</t>
  </si>
  <si>
    <t>Linea.</t>
  </si>
  <si>
    <t>Ramón Gómez Sotelo.</t>
  </si>
  <si>
    <t>Rigo Alvarado Guzmán.</t>
  </si>
  <si>
    <t>Julia Erendira García Barajas.</t>
  </si>
  <si>
    <t>Juan Hernández Zuñiga.</t>
  </si>
  <si>
    <t>Gerardo Cervantes Galindo.</t>
  </si>
  <si>
    <t>Fidel Cortes Garibay.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</si>
  <si>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</si>
  <si>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</si>
  <si>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</si>
  <si>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</si>
  <si>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</si>
  <si>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</si>
  <si>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</si>
  <si>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</si>
  <si>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</si>
  <si>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</si>
  <si>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</si>
  <si>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</si>
  <si>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</si>
  <si>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</si>
  <si>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</si>
  <si>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</si>
  <si>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</si>
  <si>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José de Jesús Pérez Aguilar.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</si>
  <si>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</si>
  <si>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</si>
  <si>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</si>
  <si>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</si>
  <si>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</si>
  <si>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</si>
  <si>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</si>
  <si>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</si>
  <si>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</si>
  <si>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</si>
  <si>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</si>
  <si>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</si>
  <si>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</si>
  <si>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</si>
  <si>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</si>
  <si>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</si>
  <si>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</si>
  <si>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</si>
  <si>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</si>
  <si>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</si>
  <si>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</si>
  <si>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</si>
  <si>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</si>
  <si>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</si>
  <si>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</si>
  <si>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Jardinero.</t>
  </si>
  <si>
    <t>Mantenimiento Cienega de Tlaxcala.</t>
  </si>
  <si>
    <t>Juan Martín Barrera Melgoza.</t>
  </si>
  <si>
    <t>Francisco Zarate Castillo.</t>
  </si>
  <si>
    <t>Francisco Zarate López.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</si>
  <si>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</si>
  <si>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</si>
  <si>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</si>
  <si>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</si>
  <si>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</si>
  <si>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</si>
  <si>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</si>
  <si>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Rubén Mendoza Falcón.</t>
  </si>
  <si>
    <t>Operador.</t>
  </si>
  <si>
    <t>Juan Lemus García.</t>
  </si>
  <si>
    <t>Rigoberto Torres Zendejas.</t>
  </si>
  <si>
    <t>José Miguel Márquez Navarro.</t>
  </si>
  <si>
    <t>Pedro Falcón García.</t>
  </si>
  <si>
    <t>Miguel Trejo Arámbula.</t>
  </si>
  <si>
    <t>Alfredo González Rodríguez.</t>
  </si>
  <si>
    <t>José Castillo García.</t>
  </si>
  <si>
    <t>Policía Vial.</t>
  </si>
  <si>
    <t>Secretaria de Agua Potable.</t>
  </si>
  <si>
    <t>Secretaria de Registro Civil.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</si>
  <si>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</si>
  <si>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</si>
  <si>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</si>
  <si>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</si>
  <si>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</si>
  <si>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</si>
  <si>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</si>
  <si>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</si>
  <si>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</si>
  <si>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José Manuel Zendejas Rodríguez.</t>
  </si>
  <si>
    <t>Juan José Ocegueda Martínez.</t>
  </si>
  <si>
    <t>Juan José Macías Ramírez.</t>
  </si>
  <si>
    <t>Ramón Rodríguez Negrete.</t>
  </si>
  <si>
    <t>Chofer vertedero.</t>
  </si>
  <si>
    <t>Encargado de cuadrilla 1.</t>
  </si>
  <si>
    <t>Jardinero de la Plaza.</t>
  </si>
  <si>
    <t>PENSIONADOS.</t>
  </si>
  <si>
    <t>Administrador del Rastro.</t>
  </si>
  <si>
    <t>J. Jesús Rodríguez González.</t>
  </si>
  <si>
    <t>Rigoberto Rodríguez Murillo.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</si>
  <si>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</si>
  <si>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</si>
  <si>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</si>
  <si>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</si>
  <si>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</si>
  <si>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</si>
  <si>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Raúl Ornelas Martínez.</t>
  </si>
  <si>
    <t>José Luis Neri Briseño.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</si>
  <si>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</si>
  <si>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</si>
  <si>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</si>
  <si>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</si>
  <si>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</si>
  <si>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Ma. Refugio Ascencio Herrera.</t>
  </si>
  <si>
    <t>Antonio Padilla Barrón.</t>
  </si>
  <si>
    <t>Salvador Rodríguez Zaragoza.</t>
  </si>
  <si>
    <t>Pensionado. (SP)</t>
  </si>
  <si>
    <t>Eva Trejo Coronado.</t>
  </si>
  <si>
    <t>Esmeralda Ángel Moreno.</t>
  </si>
  <si>
    <t>Niñera CAM.</t>
  </si>
  <si>
    <t>Juana Fabiola Ramírez Bravo.</t>
  </si>
  <si>
    <t>TIPO DE PAGO</t>
  </si>
  <si>
    <t>GUÍA PARA EMITIR PAGO DE SUELDOS.</t>
  </si>
  <si>
    <t>PRESIDENCIA.</t>
  </si>
  <si>
    <t>HACIENDA MUNICIPAL.</t>
  </si>
  <si>
    <t>DIRECCIÓN DE CATASTRO.</t>
  </si>
  <si>
    <t>DIRECCIÓN DE COMUNICACIÓN SOCIAL.</t>
  </si>
  <si>
    <t>DIRECCIÓN DE DEPORTES.</t>
  </si>
  <si>
    <t>DIRECCIÓN DE DESARROLLO SOCIAL.</t>
  </si>
  <si>
    <t>JUZGADO MUNICIPAL.</t>
  </si>
  <si>
    <t>MÉDICO MUNICIPAL.</t>
  </si>
  <si>
    <t>DEPATAMENTO MODULO DE MAQUINARIA.</t>
  </si>
  <si>
    <t>DIRECCIÓN DE PROMOCIÓN ECONÓMICA.</t>
  </si>
  <si>
    <t>DIRECCIÓN DE PROTECCIÓN CIVIL.</t>
  </si>
  <si>
    <t>DIRECCIÓN DE PROVEEDURÍA.</t>
  </si>
  <si>
    <t>DIRECCIÓN DE REGISTRO CIVIL.</t>
  </si>
  <si>
    <t>DIRECCIÓN DE SEGURIDAD PÚBLICA.</t>
  </si>
  <si>
    <t>DIRECCIÓN DE SERVICIOS PÚBLICOS.</t>
  </si>
  <si>
    <t>DEPARTAMENTO DE ALUMBRADO PÚBLICO.</t>
  </si>
  <si>
    <t>DEPARTAMENTO DE RASTRO MUNICIPAL.</t>
  </si>
  <si>
    <t>DEPARTAMENTO DE ASEO PÚBLICO.</t>
  </si>
  <si>
    <t>DEPARTAMENTO DE AGUA POTABLE Y ALCANTARILLADO.</t>
  </si>
  <si>
    <t>DEPARTAMENTO DE PARQUES Y JARDINES.</t>
  </si>
  <si>
    <t>DEPARTAMENTO DE VELADORES.</t>
  </si>
  <si>
    <t>DIRECCIÓN DE TRÁNSITO.</t>
  </si>
  <si>
    <t>DELEGACIÓN DE SANTA RITA.</t>
  </si>
  <si>
    <t>DELEGACIÓN DE BETANIA.</t>
  </si>
  <si>
    <t>DELEGACIÓN DE LA RIBERA.</t>
  </si>
  <si>
    <t>CENTRO DE DESARROLLO COMUNITARIO.</t>
  </si>
  <si>
    <t>APOYOS.</t>
  </si>
  <si>
    <t>ELE</t>
  </si>
  <si>
    <t>PENSIONADOS SEGURIDAD PÚBLICA.</t>
  </si>
  <si>
    <t>EVO</t>
  </si>
  <si>
    <t>CUENTA DE PAGO.</t>
  </si>
  <si>
    <t>HACIENDA.</t>
  </si>
  <si>
    <t>SP</t>
  </si>
  <si>
    <t>SEGURIDAD PUBLICA; TENIENTES.</t>
  </si>
  <si>
    <t>SEGURIDAD PUBLICA; PRIMERA.</t>
  </si>
  <si>
    <t>SEGURIDAD PUBLICA; LINEA.</t>
  </si>
  <si>
    <t>GRANDES TOTALES POR COLUMNA:</t>
  </si>
  <si>
    <t>Comprobación por área referenciada a Nomina Madre:</t>
  </si>
  <si>
    <t>Ismael Méndez López.</t>
  </si>
  <si>
    <t>Jefe de Dpto. Modulo de Maquinaria.</t>
  </si>
  <si>
    <t>Samuel Robles Zendejas.</t>
  </si>
  <si>
    <t>HACIENDA</t>
  </si>
  <si>
    <t>José Gerardo López Pérez.</t>
  </si>
  <si>
    <t>LOPG881215HJCPRR09</t>
  </si>
  <si>
    <t>José Antonio Zendejas Rodríguez.</t>
  </si>
  <si>
    <t>Noé Alvizar Huerta.</t>
  </si>
  <si>
    <t>Juan Enrique Mojica Valadez.</t>
  </si>
  <si>
    <t>Encargado Cementerio La Ribera.</t>
  </si>
  <si>
    <t>APOYO ALIMENTOS</t>
  </si>
  <si>
    <t>1° Oficial. (A)</t>
  </si>
  <si>
    <t>1° Oficial. (B)</t>
  </si>
  <si>
    <t>2° Oficial. (B)</t>
  </si>
  <si>
    <t>3° Oficial. (A)</t>
  </si>
  <si>
    <t>3° Oficial. (B)</t>
  </si>
  <si>
    <t>Refugio Cisneros Melendrez.</t>
  </si>
  <si>
    <t>CIMR760819HJCSLF06</t>
  </si>
  <si>
    <t>Elvira Jiménez González.</t>
  </si>
  <si>
    <t>JIGE550831MDFMNL02</t>
  </si>
  <si>
    <t>RECURSOS HUMANOS.</t>
  </si>
  <si>
    <t>Secretaria</t>
  </si>
  <si>
    <t>COMPENSACIONES</t>
  </si>
  <si>
    <t>CEHG740514HDFRRR00</t>
  </si>
  <si>
    <t>Adan Perez Morales</t>
  </si>
  <si>
    <t>PEMA780410HJCRRD04</t>
  </si>
  <si>
    <t>ROHJ920812HJCJRS01</t>
  </si>
  <si>
    <t>Carlos Banda Álvarez.</t>
  </si>
  <si>
    <t>Jorge Alberto Llamas Parada</t>
  </si>
  <si>
    <t>LAPJ781204HJCLRR07</t>
  </si>
  <si>
    <t>Mantenimiento</t>
  </si>
  <si>
    <t>Ana Ruth Lara Delgado</t>
  </si>
  <si>
    <t>Chofer</t>
  </si>
  <si>
    <t>Luis Alberto Mora Ruiz</t>
  </si>
  <si>
    <t>MORL870917HPLR2506</t>
  </si>
  <si>
    <t>Jose de Jesus Rojo Hernandez</t>
  </si>
  <si>
    <t>Aseador</t>
  </si>
  <si>
    <t>Pensionado</t>
  </si>
  <si>
    <t>GOMC901128HJCMJH06</t>
  </si>
  <si>
    <t>MOVJ760308HJCJLN02L</t>
  </si>
  <si>
    <t>AEME750202MJCNRS02</t>
  </si>
  <si>
    <t>Joel Aguilar Zabalza</t>
  </si>
  <si>
    <t xml:space="preserve">MELI780911HJCNPS03 </t>
  </si>
  <si>
    <t xml:space="preserve">LADA890128MJCRLN08 </t>
  </si>
  <si>
    <t>HETR850629HJCRRC03</t>
  </si>
  <si>
    <t xml:space="preserve">JAMF840124HJCRRR03 </t>
  </si>
  <si>
    <t>Adrian Roberto Lopez Parada</t>
  </si>
  <si>
    <t>LOPA761226HJCPRD05</t>
  </si>
  <si>
    <t>Juan Pablo Solis Rizo</t>
  </si>
  <si>
    <t>SORJ811201HJCLZN03</t>
  </si>
  <si>
    <t>MAMG570105MJCRRD03</t>
  </si>
  <si>
    <t>Gustavo Mendez Zarate</t>
  </si>
  <si>
    <t>MEZG630318HJCNRS07</t>
  </si>
  <si>
    <t>TEML850407HJCRRS01</t>
  </si>
  <si>
    <t>Cristian Adrian Gomez Mojica</t>
  </si>
  <si>
    <t>pensionado</t>
  </si>
  <si>
    <t>Gerardo Cervantes Hernandez</t>
  </si>
  <si>
    <t xml:space="preserve">Aseador Plaza y jardines </t>
  </si>
  <si>
    <t>LISM820317MJCMTR03</t>
  </si>
  <si>
    <t>PAAJ790701HJCTSS02</t>
  </si>
  <si>
    <t>Jose Patiño Ascencio</t>
  </si>
  <si>
    <t>Chofer de aseo Publico</t>
  </si>
  <si>
    <t>M .Guadalupe Martinez Mora</t>
  </si>
  <si>
    <t xml:space="preserve">Regidor </t>
  </si>
  <si>
    <t xml:space="preserve">Aseador </t>
  </si>
  <si>
    <t>Claudia Ibet Ayala Razo</t>
  </si>
  <si>
    <t>AARC861025MJCYZL02</t>
  </si>
  <si>
    <t>DEPARTAMENTO DE TRASPARENCIA</t>
  </si>
  <si>
    <t>DIRECCIÓN DE EDUCACION</t>
  </si>
  <si>
    <t>Primer comandante</t>
  </si>
  <si>
    <t>Directora</t>
  </si>
  <si>
    <t>Policia Vial</t>
  </si>
  <si>
    <t>Jose Ramon Mendoza Rojo</t>
  </si>
  <si>
    <t>Juan Emmanuel Castillo Castillo</t>
  </si>
  <si>
    <t>Maria Guadalupe Flores Rodriguez</t>
  </si>
  <si>
    <t>Ricardo Hernandez Trujillo</t>
  </si>
  <si>
    <t>INSTITUTO DE LA MUJER</t>
  </si>
  <si>
    <t>Encargada de Egresos</t>
  </si>
  <si>
    <t>Auxiliar de Egresos</t>
  </si>
  <si>
    <t>Encargada de bancos</t>
  </si>
  <si>
    <t>Auxiliar de Bancos</t>
  </si>
  <si>
    <t>Oficial del Registro Civil.</t>
  </si>
  <si>
    <t>Alejandro Romo Flores</t>
  </si>
  <si>
    <t>ROFA690917HJCMLL00</t>
  </si>
  <si>
    <t>Veronica Garcia Guzman</t>
  </si>
  <si>
    <t>Margarita Limon Sotelo</t>
  </si>
  <si>
    <t xml:space="preserve">SECRETARÍA GENERAL </t>
  </si>
  <si>
    <t>SINDICATURA.</t>
  </si>
  <si>
    <t>Secretario General</t>
  </si>
  <si>
    <t>Hector Samuel Rodriguez Rodriguez</t>
  </si>
  <si>
    <t>Medico</t>
  </si>
  <si>
    <t>Alex Ivan Salcedo Montes</t>
  </si>
  <si>
    <t>SAMA931216HJCNLN02</t>
  </si>
  <si>
    <t>Set Elias Mares Saavedra</t>
  </si>
  <si>
    <t>MASS990217HMNRVT01</t>
  </si>
  <si>
    <t>Jesús Rodríguez Castellanos.</t>
  </si>
  <si>
    <t>Promotor Deportivo</t>
  </si>
  <si>
    <t>Encargado del cementerio Santa Rita</t>
  </si>
  <si>
    <t>Gerardo Ocegueda Mendoza</t>
  </si>
  <si>
    <t>Sandra Lizbeth Villalpando Tovar</t>
  </si>
  <si>
    <t>VITS871028MJCLVN03</t>
  </si>
  <si>
    <t>María Elisabeth Hurtado Villaseñor.</t>
  </si>
  <si>
    <t>AEMJ990719HJCRRS04</t>
  </si>
  <si>
    <t>Jose de Jesus Arellano Moreno</t>
  </si>
  <si>
    <t>Juan Gallegos Barron</t>
  </si>
  <si>
    <t>GABJ640703HJCLRN04</t>
  </si>
  <si>
    <t>RIRE860701HJCZDR09</t>
  </si>
  <si>
    <t xml:space="preserve">Maria Soledad Jimenez Isaac </t>
  </si>
  <si>
    <t>Ernesto Rizo Rodriguez</t>
  </si>
  <si>
    <t xml:space="preserve">Fortino Leon Sierra </t>
  </si>
  <si>
    <t>LESF710527HGRNRR08</t>
  </si>
  <si>
    <t xml:space="preserve"> </t>
  </si>
  <si>
    <t xml:space="preserve">SP </t>
  </si>
  <si>
    <t>Gustavo Zarate Alvarez</t>
  </si>
  <si>
    <t>ZAAG650203HJCRLS02</t>
  </si>
  <si>
    <t>Mantenimiento Estadio Municipal</t>
  </si>
  <si>
    <t>TEAM641214HJCRRR09</t>
  </si>
  <si>
    <t>C</t>
  </si>
  <si>
    <t>H</t>
  </si>
  <si>
    <t>M</t>
  </si>
  <si>
    <t>Israel Molina Flores</t>
  </si>
  <si>
    <t>MOFI830712HJCLLS06</t>
  </si>
  <si>
    <t>J Jesus Leon Lopez</t>
  </si>
  <si>
    <t>Gerardo Banda Gonzalez</t>
  </si>
  <si>
    <t>Jesus Apolonio Murillo</t>
  </si>
  <si>
    <t>Cruz Augusto Ramirez Mulgado</t>
  </si>
  <si>
    <t>RAMC000921HMNMLRA0</t>
  </si>
  <si>
    <t>Francisco  Javier Jauregui Morales</t>
  </si>
  <si>
    <t>Encargado de cuadrillas</t>
  </si>
  <si>
    <t>3º Oficial</t>
  </si>
  <si>
    <t>FORG980420MJCLDD06</t>
  </si>
  <si>
    <t>CACJ991231HJCSSN00</t>
  </si>
  <si>
    <t>Yanireth Ameyalli Sanchez Carrillo</t>
  </si>
  <si>
    <t>Rafael Donosa Guzman</t>
  </si>
  <si>
    <t>DORG740307HJCNZF04</t>
  </si>
  <si>
    <t>Alonzo Ramirez Mulgado</t>
  </si>
  <si>
    <t>RAMA900420HJCMLL06</t>
  </si>
  <si>
    <t xml:space="preserve">Ignacio Aceves Hernandez </t>
  </si>
  <si>
    <t>AEHI520510HJCCRG08</t>
  </si>
  <si>
    <t xml:space="preserve">HACIENDA </t>
  </si>
  <si>
    <t>Jose de Jesus Arellano Medina</t>
  </si>
  <si>
    <t>AEMJ770903HJCCRDS00</t>
  </si>
  <si>
    <t>3 Oficial</t>
  </si>
  <si>
    <t>Juan Antonio Guzman Soto</t>
  </si>
  <si>
    <t>GUSJ910225HMNZTN03</t>
  </si>
  <si>
    <t xml:space="preserve">J.Refugio Cazares Padilla </t>
  </si>
  <si>
    <t xml:space="preserve">Laura Janeth Vargas Vazquez </t>
  </si>
  <si>
    <t xml:space="preserve">Elizabeth Magdalena Mancilla Vargas </t>
  </si>
  <si>
    <t xml:space="preserve">Eduardo Estrada Romero </t>
  </si>
  <si>
    <t xml:space="preserve">Nanci Eulalia Hernandez Bermudez </t>
  </si>
  <si>
    <t xml:space="preserve">Maria del Carmen Gonzalez Mendez </t>
  </si>
  <si>
    <t xml:space="preserve">Claudio Gaitan Garcia </t>
  </si>
  <si>
    <t xml:space="preserve">Leidy Elizabeth Alatorre Barajas </t>
  </si>
  <si>
    <t xml:space="preserve">Tesorera </t>
  </si>
  <si>
    <t xml:space="preserve">AREA DE MOVILIDAD URBANA Y TRANSITO MPAL </t>
  </si>
  <si>
    <t xml:space="preserve">Juan Marquez Dueñas </t>
  </si>
  <si>
    <t xml:space="preserve">Raziel Husai Gonzalez Hernandez </t>
  </si>
  <si>
    <t xml:space="preserve">Jefe de Area </t>
  </si>
  <si>
    <t xml:space="preserve">AREA DE INSPECCION Y VIGILANCIA, PADRON Y LICENCIAS </t>
  </si>
  <si>
    <t xml:space="preserve">ELE </t>
  </si>
  <si>
    <t>Abraham Garcia Castillo</t>
  </si>
  <si>
    <t xml:space="preserve">Ernesto Alfonso Padilla Ruiz Velasco </t>
  </si>
  <si>
    <t xml:space="preserve">Auxiliar Administrativo </t>
  </si>
  <si>
    <t xml:space="preserve">Mariana Arambula Alatorre </t>
  </si>
  <si>
    <t xml:space="preserve">Esperanza Garcia Vazquez </t>
  </si>
  <si>
    <t xml:space="preserve">Miguel Angel Rodriguez Muñiz </t>
  </si>
  <si>
    <t xml:space="preserve">Martha Nayeli Serratos Quiroz </t>
  </si>
  <si>
    <t xml:space="preserve">Fernando Guzman Barrera </t>
  </si>
  <si>
    <t>Benjamin Apolonio Murillo</t>
  </si>
  <si>
    <t xml:space="preserve">Porfirio Rocha Escoto </t>
  </si>
  <si>
    <t xml:space="preserve">Daniel Velasco Tabarez </t>
  </si>
  <si>
    <t xml:space="preserve">Jose Daniel Benitez Perez </t>
  </si>
  <si>
    <t xml:space="preserve">Secretaria </t>
  </si>
  <si>
    <t xml:space="preserve">Carlos Mauricio Acosta Garcia </t>
  </si>
  <si>
    <t xml:space="preserve">Erick Salvador Conchas Garcia </t>
  </si>
  <si>
    <t xml:space="preserve">Alfredo Trejo Banda </t>
  </si>
  <si>
    <t xml:space="preserve">Encargado de pozo </t>
  </si>
  <si>
    <t>J. Jesus Guillemin Rubio</t>
  </si>
  <si>
    <t xml:space="preserve">Maria Guadalupe Garcia Echeverria </t>
  </si>
  <si>
    <t>Policia vial</t>
  </si>
  <si>
    <t xml:space="preserve">Jose Alberto Saavedra Martinez </t>
  </si>
  <si>
    <t xml:space="preserve">Jose Alvarez Quintero </t>
  </si>
  <si>
    <t xml:space="preserve">Juan Ricardo Barcenas Zaragoza </t>
  </si>
  <si>
    <t xml:space="preserve">Javier Diaz Cuevas </t>
  </si>
  <si>
    <t xml:space="preserve">Ismale Rojo Garcia </t>
  </si>
  <si>
    <t xml:space="preserve">Juan Hurtado Delgado </t>
  </si>
  <si>
    <t xml:space="preserve">Martin Medina Ascencio </t>
  </si>
  <si>
    <t xml:space="preserve">Gabriela Sotelo Valadez </t>
  </si>
  <si>
    <t xml:space="preserve">Eduardo Barron Rodriguez </t>
  </si>
  <si>
    <t xml:space="preserve">Iris Deni Chavez Balderas </t>
  </si>
  <si>
    <t xml:space="preserve">Angelica Maria Camarena Salazar </t>
  </si>
  <si>
    <t xml:space="preserve">Juana Cruz Comparan </t>
  </si>
  <si>
    <t xml:space="preserve">Intendente Unidad Deportiva </t>
  </si>
  <si>
    <t>ADMINISTRACIÓN 2021-2024</t>
  </si>
  <si>
    <t>Maria Guadalupe Garcia Palafox</t>
  </si>
  <si>
    <t>Miguel Angel Saldaña Luviano</t>
  </si>
  <si>
    <t>Jorge Alberto Navarro Gaytan</t>
  </si>
  <si>
    <t>Jose de Jesus Medina Banda</t>
  </si>
  <si>
    <t>Vicente Velazquez Camarena</t>
  </si>
  <si>
    <t xml:space="preserve"> Jose Martin Trejo Arambula</t>
  </si>
  <si>
    <t xml:space="preserve"> Cesar Ivan Gutierrez Garcia </t>
  </si>
  <si>
    <t>GOMC841222MJCNNR07</t>
  </si>
  <si>
    <t>Ma. Rosario Guzman Perez</t>
  </si>
  <si>
    <t>VAVL891205MJCRZR00</t>
  </si>
  <si>
    <t>Edith Hernandez Gonzalez</t>
  </si>
  <si>
    <t>Auxiliar administrativo</t>
  </si>
  <si>
    <t>Juan Carlos Martinez Loza</t>
  </si>
  <si>
    <t>Secretaria presidencia</t>
  </si>
  <si>
    <t xml:space="preserve">Delegado </t>
  </si>
  <si>
    <t>Rafael Melendez Luna</t>
  </si>
  <si>
    <t>Velador CDC la Ribera</t>
  </si>
  <si>
    <t>Sandra Morales Ramirez</t>
  </si>
  <si>
    <t>Operdor</t>
  </si>
  <si>
    <t>Rafael Vazquez Zuñiga</t>
  </si>
  <si>
    <t>Oficial Registro civil</t>
  </si>
  <si>
    <t>Directora de Investigacion</t>
  </si>
  <si>
    <t>Director de Auditoria y Revision Hacendaria</t>
  </si>
  <si>
    <t>Jonathan Rafael Jaramillo Llamas</t>
  </si>
  <si>
    <t>3º Oficial PC</t>
  </si>
  <si>
    <t>CONTRALORIA</t>
  </si>
  <si>
    <t>ORGANO INTERNO DE CONTROL</t>
  </si>
  <si>
    <t>Ma. Dolores Rizo Vazquez</t>
  </si>
  <si>
    <t>RIVD720805MJCZZL08</t>
  </si>
  <si>
    <t>Encargada de CDC</t>
  </si>
  <si>
    <t>DIRECCIÓN DE CULTURA</t>
  </si>
  <si>
    <t>DIRECCIÓN DE OBRAS PÚBLICAS  Y PLANEACION URBANA</t>
  </si>
  <si>
    <t>Inspector</t>
  </si>
  <si>
    <t xml:space="preserve">Francisco Javier Velasco Tabarez </t>
  </si>
  <si>
    <t>MAVE940711MJCNRL07</t>
  </si>
  <si>
    <t>MAGG930806HJCRRD09</t>
  </si>
  <si>
    <t>VETF830404HJCLBR06</t>
  </si>
  <si>
    <t>AABL910901MJCLRN03</t>
  </si>
  <si>
    <t>MADJ550624HJCRXN08</t>
  </si>
  <si>
    <t>GOHR890525HNTNRZ04</t>
  </si>
  <si>
    <t>PARE810824HJCDZR01</t>
  </si>
  <si>
    <t>AAAM850712MJCRLR09</t>
  </si>
  <si>
    <t>GAVE720423MJCRSS01</t>
  </si>
  <si>
    <t>HEGE820605MJCRND09</t>
  </si>
  <si>
    <t>ROMM911226HJCDXG02</t>
  </si>
  <si>
    <t>MALJ761121HJCRZN01</t>
  </si>
  <si>
    <t>HEVJ790610HJCRRV09</t>
  </si>
  <si>
    <t>SEQM921111MJCRRR07</t>
  </si>
  <si>
    <t xml:space="preserve">CALN770208MJCSRD03 </t>
  </si>
  <si>
    <t>BGUBF930504HMNZRR04</t>
  </si>
  <si>
    <t>JIIS950827MJCMSL07</t>
  </si>
  <si>
    <t>AOMJ720703HDEPRS04</t>
  </si>
  <si>
    <t>AMMB791128HMCPRN03</t>
  </si>
  <si>
    <t>ROEP690619HJCCSR08</t>
  </si>
  <si>
    <t xml:space="preserve">EOAM790228HJCSLG06 </t>
  </si>
  <si>
    <t>VETD910625HJCLBN02</t>
  </si>
  <si>
    <t>SACY980124MNTNRN01</t>
  </si>
  <si>
    <t xml:space="preserve">GADR670929HJCRZG06 </t>
  </si>
  <si>
    <t>BEPD911006HVZNNRN00</t>
  </si>
  <si>
    <t xml:space="preserve">RORH710418HJCDDC07 </t>
  </si>
  <si>
    <t>AOGC921207HJCCRR03</t>
  </si>
  <si>
    <t>CXGE901007HJCNRR07</t>
  </si>
  <si>
    <t>TEBA631117HJCRNL01</t>
  </si>
  <si>
    <t>GURJ660327HJCLBS07</t>
  </si>
  <si>
    <t xml:space="preserve">VIPE690415HJCLRD05 </t>
  </si>
  <si>
    <t xml:space="preserve">NAGJ541108HJCVTR03 </t>
  </si>
  <si>
    <t>AUZJ720209HJCGBL07</t>
  </si>
  <si>
    <t xml:space="preserve">MERR980831HJCNJM03      </t>
  </si>
  <si>
    <t>SALM700409HDFLBG05</t>
  </si>
  <si>
    <t>GAEC850602MJCRCD09</t>
  </si>
  <si>
    <t>SAMA900416HJCVRL06</t>
  </si>
  <si>
    <t>BAZJ560113HDRFRN07</t>
  </si>
  <si>
    <t>DICJ591203HMNZVV03</t>
  </si>
  <si>
    <t>ROGI510326HJCJRS00</t>
  </si>
  <si>
    <t>MEAM640501HJCDSR00</t>
  </si>
  <si>
    <t>SOVG871116MJCTLB03</t>
  </si>
  <si>
    <t>Juan Carlos Hurtado Escoto</t>
  </si>
  <si>
    <t>HUEJ980618HJCRSN04</t>
  </si>
  <si>
    <t>Jose de Jesus Rizo Garcia</t>
  </si>
  <si>
    <t>David Guadalupe Perez Lopez</t>
  </si>
  <si>
    <t>Martha Rivas Mendoza</t>
  </si>
  <si>
    <t>RIMM730118MJCBNR06</t>
  </si>
  <si>
    <t>Secretario Atencion Ciudadana</t>
  </si>
  <si>
    <t>Ivone Susana Valdivia Sanchez</t>
  </si>
  <si>
    <t>Jose Manuel Alvarado Rivera</t>
  </si>
  <si>
    <t>Hector Copado Rizo</t>
  </si>
  <si>
    <t>Luis Ignacio Enrique Delgadillo</t>
  </si>
  <si>
    <t>Leticia Juárez Huichapa.</t>
  </si>
  <si>
    <t>JUHL600102MDFRCT06</t>
  </si>
  <si>
    <t>Agustin Bautista Navarrete</t>
  </si>
  <si>
    <t>BANA900216HJCTVG05</t>
  </si>
  <si>
    <t>Clariza Janet Hernandez Rivera</t>
  </si>
  <si>
    <t>Felimon Razo Flores</t>
  </si>
  <si>
    <t>Jefe de Despacho</t>
  </si>
  <si>
    <t>VECV791012HJCLMC09</t>
  </si>
  <si>
    <t>Javier Hernandez Vargas</t>
  </si>
  <si>
    <t>Alfonso Lopez Zarate</t>
  </si>
  <si>
    <t xml:space="preserve">Arturo Javier Redrujo Gonzalez </t>
  </si>
  <si>
    <t>REGA960119HJCDNR04</t>
  </si>
  <si>
    <t>Oscar Alexis Gonzalez Sanchez</t>
  </si>
  <si>
    <t>Rogelio Alvizar Hernandez</t>
  </si>
  <si>
    <t>Alma Mireya Soto Padilla</t>
  </si>
  <si>
    <t>Yasmin Marin  Sotelo</t>
  </si>
  <si>
    <t>Jose de Jesus Huerta Cardenas</t>
  </si>
  <si>
    <t>HUCJ600830HJCRRS08</t>
  </si>
  <si>
    <t>Instructos de Banda de Guerra</t>
  </si>
  <si>
    <t>Pensionada</t>
  </si>
  <si>
    <t>Angelina DeOrta Camacho</t>
  </si>
  <si>
    <t>DECA551122MJCRMN02</t>
  </si>
  <si>
    <t>DIRECCIÓN DE DESARROLLO AGROPECUARIO Y ECOLOGIA</t>
  </si>
  <si>
    <t>Director</t>
  </si>
  <si>
    <t>Encargado de Egresos</t>
  </si>
  <si>
    <t>Javier Valadez Zaragoza</t>
  </si>
  <si>
    <t>VAZJ870801HJCLRV09</t>
  </si>
  <si>
    <t>Ricardo Blanco Giron</t>
  </si>
  <si>
    <t>Juan Manuel Tovar Dominguez</t>
  </si>
  <si>
    <t>TODJ941209HJCVMN01</t>
  </si>
  <si>
    <t>Edgar Mauricio Garcia Vera</t>
  </si>
  <si>
    <t>GAVE970916HMNRRD01</t>
  </si>
  <si>
    <t>Juan Carlos Rojo Alatorre</t>
  </si>
  <si>
    <t>ROAJ910705HJCLN06</t>
  </si>
  <si>
    <t>Encargado de Despacho</t>
  </si>
  <si>
    <t>Erika Rodarte Zarate</t>
  </si>
  <si>
    <t>ROZE901117MJCDRR01</t>
  </si>
  <si>
    <t>Chofer Vehiculos de Emergencia</t>
  </si>
  <si>
    <t>José Luis Fuentes Hernández.</t>
  </si>
  <si>
    <t>FUHL710907HJCNRS08</t>
  </si>
  <si>
    <t>Salvador Escoto Lopez</t>
  </si>
  <si>
    <t>Lourdes Garcia Esquivel</t>
  </si>
  <si>
    <t>GAEL670813MJCRSR02</t>
  </si>
  <si>
    <t>GARC501112MJCRYL09</t>
  </si>
  <si>
    <t>Celia Garcia Reynoso</t>
  </si>
  <si>
    <t>Agustin Mendez Morales</t>
  </si>
  <si>
    <t>MEMA751231HDFNRG06</t>
  </si>
  <si>
    <t>Auxiliar  administrativa comunicación social</t>
  </si>
  <si>
    <t>Policia Eventual</t>
  </si>
  <si>
    <t>Chofer de Rutas Foraneas</t>
  </si>
  <si>
    <t>Sanjuana Gonzalez Redrujo</t>
  </si>
  <si>
    <t>GORS870302MJCND03</t>
  </si>
  <si>
    <t>Victor Manuel Arias Cervantes</t>
  </si>
  <si>
    <t>Jose Manuel Caloca Cruz</t>
  </si>
  <si>
    <t>CACM651017HJCLRN01</t>
  </si>
  <si>
    <t>Adriana Lizeth Marquez Quintero</t>
  </si>
  <si>
    <t>MAQA961022MNTRD00</t>
  </si>
  <si>
    <t>Lisandro Trejo Morales</t>
  </si>
  <si>
    <t>Secretario Casa de la Cultura</t>
  </si>
  <si>
    <t>Samandra Guadalupe Avila Servin</t>
  </si>
  <si>
    <t>Jefe de Albañiles</t>
  </si>
  <si>
    <t>Operador Modulo Maquinaria</t>
  </si>
  <si>
    <t>Juan Miguel Barajas Alcala</t>
  </si>
  <si>
    <t>Ramiro Ismael Cedillo Delgado</t>
  </si>
  <si>
    <t>CEDR000617HJCDLMA3</t>
  </si>
  <si>
    <t>Jose Luis Banda Andrade</t>
  </si>
  <si>
    <t>Antonio Salinas Arcega</t>
  </si>
  <si>
    <t>Encargada</t>
  </si>
  <si>
    <t>Antony Fabian Trejo Banda</t>
  </si>
  <si>
    <t xml:space="preserve"> Adriana Elizabeth Solorio Trujillo</t>
  </si>
  <si>
    <t>Fernando Ignacio Leon Flores</t>
  </si>
  <si>
    <t>LEFF980822HJCNLR09</t>
  </si>
  <si>
    <t>Alondra Flores Rodriguez</t>
  </si>
  <si>
    <t>Jefe de Mecanicos</t>
  </si>
  <si>
    <t>3 ° Oficial</t>
  </si>
  <si>
    <t>Aseador Plaza de la Concia</t>
  </si>
  <si>
    <t>Inspectora Gandera</t>
  </si>
  <si>
    <t>Intendente Delegacion  Betania</t>
  </si>
  <si>
    <t>Secretaria Delegacion  Santa Rita</t>
  </si>
  <si>
    <t>Maria Monserrat Marquez Ayala</t>
  </si>
  <si>
    <t>MAAM980607MJCRYN05</t>
  </si>
  <si>
    <t xml:space="preserve">Guillermo Amezola Fonseca </t>
  </si>
  <si>
    <t>AEFG620607HJCMNL07</t>
  </si>
  <si>
    <t>TEBA920224HJCRNN04</t>
  </si>
  <si>
    <t>Antonio Herrera Lopez</t>
  </si>
  <si>
    <t>HELA940613HJCRPN05</t>
  </si>
  <si>
    <t>Auxiliar</t>
  </si>
  <si>
    <t>Cruz Alejandro Echeverria Garcia</t>
  </si>
  <si>
    <t>Jose Luis Lara Jimenez</t>
  </si>
  <si>
    <t>LAJL730315HOCRMS00</t>
  </si>
  <si>
    <t>Salvador Ulises Rodriguez Mendez</t>
  </si>
  <si>
    <t>ROMS990313HMNDNL03</t>
  </si>
  <si>
    <t>Maria de los Angeles Alatorre Velasquez</t>
  </si>
  <si>
    <t>Guillermo Barron Hurtado</t>
  </si>
  <si>
    <t>Chofer Educacion</t>
  </si>
  <si>
    <t>Aslhy Luz Cristina Gonzalez Nuñez</t>
  </si>
  <si>
    <t>EIDL951018HJCNLS07</t>
  </si>
  <si>
    <t>Leopoldo Cervantes Guzman</t>
  </si>
  <si>
    <t>Operador Modulo de Maquinaria</t>
  </si>
  <si>
    <t>Joab Mejia Calderon</t>
  </si>
  <si>
    <t>Luis Angel Morones Torres</t>
  </si>
  <si>
    <t>Maura Flores Rodriguez</t>
  </si>
  <si>
    <t>FORM860115MJCLDR09</t>
  </si>
  <si>
    <t>Delegada Suplente</t>
  </si>
  <si>
    <t>Juan Pablo Guzman Angel</t>
  </si>
  <si>
    <t>Elizabeth Rodriguez</t>
  </si>
  <si>
    <t>ROXE950711MNEDXL05</t>
  </si>
  <si>
    <t>Auxiliar Administrativa</t>
  </si>
  <si>
    <t>Gael Garcia Niebla</t>
  </si>
  <si>
    <t>Cristian Venegas Rivas</t>
  </si>
  <si>
    <t>Manuel Sacramento Ayala Garcia</t>
  </si>
  <si>
    <t>Jaime Llamas Parada</t>
  </si>
  <si>
    <t>Jesus Salvador  Bautista Melgoza</t>
  </si>
  <si>
    <t>Cristopher Josue Rivera Hernandez</t>
  </si>
  <si>
    <t>Joel Alcala Tovar</t>
  </si>
  <si>
    <t>AATJ890120HJCLVL08</t>
  </si>
  <si>
    <t>Regidor Suplente</t>
  </si>
  <si>
    <t>Juan Omar Davalos Zamora</t>
  </si>
  <si>
    <t>DAZJ981017HMNVMN05</t>
  </si>
  <si>
    <t>Roberto Carlos Hurtado Ruiz</t>
  </si>
  <si>
    <t>Alan Moises Vazquez Flores</t>
  </si>
  <si>
    <t>Luis Antonio Conchas Alcala</t>
  </si>
  <si>
    <t>Presidente Interina</t>
  </si>
  <si>
    <t>Elva Lucia Ramirez Hurtado</t>
  </si>
  <si>
    <t>RAHE971022 MJCMRL01</t>
  </si>
  <si>
    <t>Encargada de Despacho</t>
  </si>
  <si>
    <t>Juan Diego Galindo Dominguez</t>
  </si>
  <si>
    <t>M Carmen  Madrigal Solis</t>
  </si>
  <si>
    <t>MASC700716MJCDLR15</t>
  </si>
  <si>
    <t>Sindico Interino</t>
  </si>
  <si>
    <t>Salbador Galindo Hernandez</t>
  </si>
  <si>
    <t>Jose Antonio Lujano Galindo</t>
  </si>
  <si>
    <t>Nómina que corresponde a la 1er.   (primer     )QUINCENA   del mes de ABRIL de 2024.</t>
  </si>
  <si>
    <t xml:space="preserve"> Aux. Alumbrado Publico </t>
  </si>
  <si>
    <t>Victor Alfonso Leon Tabarez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</si>
</sst>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4"/>
      <color rgb="FFFF0000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rgb="FFFF0000"/>
      <name val="Bookman Old Style"/>
      <family val="1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b/>
      <sz val="12"/>
      <color rgb="FF7030A0"/>
      <name val="Arial"/>
      <family val="2"/>
    </font>
    <font>
      <sz val="14"/>
      <name val="Arial"/>
      <family val="2"/>
    </font>
    <font>
      <b/>
      <sz val="14"/>
      <color rgb="FF7030A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62"/>
      <name val="Arial"/>
      <family val="2"/>
    </font>
    <font>
      <sz val="11"/>
      <name val="Arial"/>
      <family val="2"/>
    </font>
    <font>
      <b/>
      <sz val="14"/>
      <color indexed="56"/>
      <name val="Arial"/>
      <family val="2"/>
    </font>
    <font>
      <sz val="12"/>
      <color rgb="FFFF0000"/>
      <name val="Arial"/>
      <family val="2"/>
    </font>
    <font>
      <b/>
      <sz val="14"/>
      <color theme="9" tint="-0.249977111117893"/>
      <name val="Bookman Old Style"/>
      <family val="1"/>
    </font>
    <font>
      <b/>
      <sz val="11"/>
      <name val="Bookman Old Style"/>
      <family val="1"/>
    </font>
    <font>
      <sz val="12"/>
      <color rgb="FF7030A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Bookman Old Style"/>
      <family val="1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sz val="11"/>
      <color rgb="FFFF0000"/>
      <name val="Bookman Old Style"/>
      <family val="1"/>
    </font>
    <font>
      <b/>
      <sz val="11"/>
      <color rgb="FF0061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DashDot">
        <color theme="5" tint="0.39994506668294322"/>
      </top>
      <bottom style="mediumDashDot">
        <color theme="5" tint="0.39994506668294322"/>
      </bottom>
      <diagonal/>
    </border>
    <border>
      <left/>
      <right/>
      <top/>
      <bottom style="mediumDashDot">
        <color theme="5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theme="5" tint="0.3999450666829432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mediumDashDot">
        <color theme="5" tint="0.3999450666829432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uble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DashDot">
        <color theme="5" tint="0.39994506668294322"/>
      </top>
      <bottom style="mediumDashDot">
        <color theme="5" tint="0.3999450666829432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DashDot">
        <color theme="5" tint="0.39994506668294322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DashDot">
        <color theme="5" tint="0.39994506668294322"/>
      </bottom>
      <diagonal/>
    </border>
    <border>
      <left/>
      <right/>
      <top style="thin">
        <color theme="0" tint="-0.14999847407452621"/>
      </top>
      <bottom style="mediumDashDot">
        <color theme="5" tint="0.39994506668294322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/>
      <top/>
      <bottom style="double">
        <color indexed="64"/>
      </bottom>
      <diagonal/>
    </border>
    <border>
      <left/>
      <right style="thin">
        <color theme="0" tint="-0.1499984740745262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</cellStyleXfs>
  <cellXfs count="445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22" fillId="28" borderId="0" xfId="0" applyFont="1" applyFill="1"/>
    <xf numFmtId="0" fontId="22" fillId="29" borderId="0" xfId="0" applyFont="1" applyFill="1"/>
    <xf numFmtId="0" fontId="0" fillId="0" borderId="0" xfId="0" applyFill="1"/>
    <xf numFmtId="0" fontId="22" fillId="24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4" fillId="2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6" fillId="25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25" borderId="31" xfId="0" applyFont="1" applyFill="1" applyBorder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6" fillId="25" borderId="19" xfId="0" applyFont="1" applyFill="1" applyBorder="1" applyAlignment="1">
      <alignment vertical="center"/>
    </xf>
    <xf numFmtId="0" fontId="30" fillId="33" borderId="0" xfId="0" applyFont="1" applyFill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 applyFill="1"/>
    <xf numFmtId="0" fontId="36" fillId="33" borderId="0" xfId="0" applyFont="1" applyFill="1" applyBorder="1" applyAlignment="1">
      <alignment vertical="center"/>
    </xf>
    <xf numFmtId="0" fontId="31" fillId="25" borderId="0" xfId="0" applyFont="1" applyFill="1" applyBorder="1" applyAlignment="1"/>
    <xf numFmtId="0" fontId="30" fillId="0" borderId="28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25" borderId="31" xfId="0" applyFont="1" applyFill="1" applyBorder="1" applyAlignment="1">
      <alignment vertical="center"/>
    </xf>
    <xf numFmtId="0" fontId="34" fillId="25" borderId="19" xfId="0" applyFont="1" applyFill="1" applyBorder="1" applyAlignment="1">
      <alignment vertical="center"/>
    </xf>
    <xf numFmtId="0" fontId="32" fillId="0" borderId="0" xfId="0" applyFont="1" applyFill="1"/>
    <xf numFmtId="0" fontId="33" fillId="25" borderId="0" xfId="0" applyFont="1" applyFill="1" applyBorder="1" applyAlignment="1"/>
    <xf numFmtId="0" fontId="33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33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4" fontId="32" fillId="33" borderId="0" xfId="0" applyNumberFormat="1" applyFont="1" applyFill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6" fillId="25" borderId="18" xfId="0" applyFont="1" applyFill="1" applyBorder="1" applyAlignment="1">
      <alignment vertical="center"/>
    </xf>
    <xf numFmtId="0" fontId="32" fillId="0" borderId="0" xfId="0" applyFont="1" applyFill="1" applyAlignment="1">
      <alignment wrapText="1"/>
    </xf>
    <xf numFmtId="0" fontId="34" fillId="25" borderId="18" xfId="0" applyFont="1" applyFill="1" applyBorder="1" applyAlignment="1">
      <alignment vertical="center"/>
    </xf>
    <xf numFmtId="4" fontId="32" fillId="0" borderId="0" xfId="0" applyNumberFormat="1" applyFont="1" applyFill="1" applyAlignment="1">
      <alignment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wrapText="1"/>
    </xf>
    <xf numFmtId="0" fontId="32" fillId="33" borderId="0" xfId="0" applyFont="1" applyFill="1" applyAlignment="1">
      <alignment horizontal="left" vertical="center"/>
    </xf>
    <xf numFmtId="0" fontId="32" fillId="24" borderId="17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vertical="center"/>
    </xf>
    <xf numFmtId="0" fontId="32" fillId="24" borderId="27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0" fontId="32" fillId="0" borderId="33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 wrapText="1"/>
    </xf>
    <xf numFmtId="0" fontId="32" fillId="24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 wrapText="1"/>
    </xf>
    <xf numFmtId="0" fontId="32" fillId="24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29" borderId="23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2" fillId="32" borderId="0" xfId="0" applyFont="1" applyFill="1" applyBorder="1" applyAlignment="1">
      <alignment horizontal="left" vertical="center" wrapText="1"/>
    </xf>
    <xf numFmtId="0" fontId="32" fillId="33" borderId="3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/>
    <xf numFmtId="0" fontId="41" fillId="0" borderId="0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wrapText="1"/>
    </xf>
    <xf numFmtId="0" fontId="36" fillId="25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24" borderId="19" xfId="0" applyNumberFormat="1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4" fontId="30" fillId="33" borderId="19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24" borderId="32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30" fillId="33" borderId="31" xfId="46" applyNumberFormat="1" applyFont="1" applyFill="1" applyBorder="1" applyAlignment="1">
      <alignment horizontal="center"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31" xfId="46" applyNumberFormat="1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9" borderId="21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/>
    </xf>
    <xf numFmtId="0" fontId="35" fillId="0" borderId="12" xfId="0" applyFont="1" applyFill="1" applyBorder="1" applyAlignment="1">
      <alignment horizontal="right" vertical="center"/>
    </xf>
    <xf numFmtId="0" fontId="30" fillId="0" borderId="0" xfId="0" applyNumberFormat="1" applyFont="1" applyFill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 vertical="center"/>
    </xf>
    <xf numFmtId="167" fontId="30" fillId="0" borderId="0" xfId="0" applyNumberFormat="1" applyFont="1" applyFill="1" applyAlignment="1">
      <alignment horizontal="center" vertical="center"/>
    </xf>
    <xf numFmtId="167" fontId="35" fillId="0" borderId="0" xfId="0" applyNumberFormat="1" applyFont="1" applyFill="1" applyAlignment="1">
      <alignment horizontal="center" vertical="center"/>
    </xf>
    <xf numFmtId="0" fontId="35" fillId="0" borderId="13" xfId="0" applyFont="1" applyFill="1" applyBorder="1" applyAlignment="1">
      <alignment horizontal="right" vertical="center"/>
    </xf>
    <xf numFmtId="167" fontId="35" fillId="0" borderId="13" xfId="0" applyNumberFormat="1" applyFont="1" applyFill="1" applyBorder="1" applyAlignment="1">
      <alignment horizontal="center" vertical="center"/>
    </xf>
    <xf numFmtId="167" fontId="30" fillId="33" borderId="0" xfId="0" applyNumberFormat="1" applyFont="1" applyFill="1" applyAlignment="1">
      <alignment horizontal="center" vertical="center"/>
    </xf>
    <xf numFmtId="0" fontId="35" fillId="0" borderId="16" xfId="0" applyFont="1" applyFill="1" applyBorder="1" applyAlignment="1">
      <alignment horizontal="right" vertical="center"/>
    </xf>
    <xf numFmtId="167" fontId="35" fillId="0" borderId="16" xfId="0" applyNumberFormat="1" applyFont="1" applyFill="1" applyBorder="1" applyAlignment="1">
      <alignment horizontal="center" vertical="center"/>
    </xf>
    <xf numFmtId="167" fontId="30" fillId="33" borderId="0" xfId="0" applyNumberFormat="1" applyFont="1" applyFill="1" applyBorder="1" applyAlignment="1">
      <alignment horizontal="center" vertical="center"/>
    </xf>
    <xf numFmtId="167" fontId="35" fillId="0" borderId="11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vertical="center"/>
    </xf>
    <xf numFmtId="167" fontId="30" fillId="0" borderId="20" xfId="0" applyNumberFormat="1" applyFont="1" applyFill="1" applyBorder="1" applyAlignment="1">
      <alignment horizontal="center" vertical="center"/>
    </xf>
    <xf numFmtId="167" fontId="30" fillId="0" borderId="27" xfId="0" applyNumberFormat="1" applyFont="1" applyFill="1" applyBorder="1" applyAlignment="1">
      <alignment horizontal="center" vertical="center"/>
    </xf>
    <xf numFmtId="167" fontId="30" fillId="0" borderId="19" xfId="0" applyNumberFormat="1" applyFont="1" applyFill="1" applyBorder="1" applyAlignment="1">
      <alignment horizontal="center" vertical="center"/>
    </xf>
    <xf numFmtId="167" fontId="30" fillId="0" borderId="17" xfId="0" applyNumberFormat="1" applyFont="1" applyFill="1" applyBorder="1" applyAlignment="1">
      <alignment horizontal="center" vertical="center"/>
    </xf>
    <xf numFmtId="167" fontId="30" fillId="24" borderId="17" xfId="0" applyNumberFormat="1" applyFont="1" applyFill="1" applyBorder="1" applyAlignment="1">
      <alignment horizontal="center" vertical="center"/>
    </xf>
    <xf numFmtId="167" fontId="30" fillId="24" borderId="18" xfId="0" applyNumberFormat="1" applyFont="1" applyFill="1" applyBorder="1" applyAlignment="1">
      <alignment horizontal="center" vertical="center"/>
    </xf>
    <xf numFmtId="167" fontId="30" fillId="0" borderId="28" xfId="0" applyNumberFormat="1" applyFont="1" applyFill="1" applyBorder="1" applyAlignment="1">
      <alignment horizontal="center" vertical="center"/>
    </xf>
    <xf numFmtId="167" fontId="35" fillId="0" borderId="14" xfId="0" applyNumberFormat="1" applyFont="1" applyFill="1" applyBorder="1" applyAlignment="1">
      <alignment horizontal="center" vertical="center"/>
    </xf>
    <xf numFmtId="167" fontId="30" fillId="33" borderId="17" xfId="0" applyNumberFormat="1" applyFont="1" applyFill="1" applyBorder="1" applyAlignment="1">
      <alignment horizontal="center" vertical="center"/>
    </xf>
    <xf numFmtId="167" fontId="30" fillId="33" borderId="20" xfId="0" applyNumberFormat="1" applyFont="1" applyFill="1" applyBorder="1" applyAlignment="1">
      <alignment horizontal="center" vertical="center"/>
    </xf>
    <xf numFmtId="167" fontId="30" fillId="33" borderId="19" xfId="0" applyNumberFormat="1" applyFont="1" applyFill="1" applyBorder="1" applyAlignment="1">
      <alignment horizontal="center" vertical="center"/>
    </xf>
    <xf numFmtId="167" fontId="30" fillId="33" borderId="18" xfId="0" applyNumberFormat="1" applyFont="1" applyFill="1" applyBorder="1" applyAlignment="1">
      <alignment horizontal="center" vertical="center"/>
    </xf>
    <xf numFmtId="167" fontId="35" fillId="0" borderId="27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right" vertical="center"/>
    </xf>
    <xf numFmtId="167" fontId="35" fillId="0" borderId="37" xfId="0" applyNumberFormat="1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vertical="center"/>
    </xf>
    <xf numFmtId="167" fontId="30" fillId="33" borderId="28" xfId="0" applyNumberFormat="1" applyFont="1" applyFill="1" applyBorder="1" applyAlignment="1">
      <alignment horizontal="center" vertical="center"/>
    </xf>
    <xf numFmtId="0" fontId="30" fillId="33" borderId="0" xfId="0" applyFont="1" applyFill="1"/>
    <xf numFmtId="167" fontId="30" fillId="0" borderId="35" xfId="0" applyNumberFormat="1" applyFont="1" applyFill="1" applyBorder="1" applyAlignment="1">
      <alignment horizontal="center" vertical="center"/>
    </xf>
    <xf numFmtId="167" fontId="30" fillId="0" borderId="38" xfId="0" applyNumberFormat="1" applyFont="1" applyFill="1" applyBorder="1" applyAlignment="1">
      <alignment horizontal="center" vertical="center"/>
    </xf>
    <xf numFmtId="167" fontId="30" fillId="0" borderId="22" xfId="0" applyNumberFormat="1" applyFont="1" applyFill="1" applyBorder="1" applyAlignment="1">
      <alignment horizontal="center" vertical="center"/>
    </xf>
    <xf numFmtId="167" fontId="30" fillId="24" borderId="20" xfId="0" applyNumberFormat="1" applyFont="1" applyFill="1" applyBorder="1" applyAlignment="1">
      <alignment horizontal="center" vertical="center"/>
    </xf>
    <xf numFmtId="167" fontId="30" fillId="0" borderId="21" xfId="0" applyNumberFormat="1" applyFont="1" applyFill="1" applyBorder="1" applyAlignment="1">
      <alignment horizontal="center" vertical="center"/>
    </xf>
    <xf numFmtId="167" fontId="40" fillId="24" borderId="26" xfId="0" applyNumberFormat="1" applyFont="1" applyFill="1" applyBorder="1" applyAlignment="1">
      <alignment horizontal="center" vertical="center"/>
    </xf>
    <xf numFmtId="167" fontId="40" fillId="24" borderId="28" xfId="0" applyNumberFormat="1" applyFont="1" applyFill="1" applyBorder="1" applyAlignment="1">
      <alignment horizontal="center" vertical="center"/>
    </xf>
    <xf numFmtId="167" fontId="30" fillId="0" borderId="31" xfId="0" applyNumberFormat="1" applyFont="1" applyFill="1" applyBorder="1" applyAlignment="1">
      <alignment horizontal="center" vertical="center"/>
    </xf>
    <xf numFmtId="167" fontId="30" fillId="0" borderId="26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167" fontId="40" fillId="0" borderId="21" xfId="0" applyNumberFormat="1" applyFont="1" applyFill="1" applyBorder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/>
    </xf>
    <xf numFmtId="167" fontId="40" fillId="0" borderId="27" xfId="0" applyNumberFormat="1" applyFont="1" applyFill="1" applyBorder="1" applyAlignment="1">
      <alignment horizontal="center" vertical="center"/>
    </xf>
    <xf numFmtId="167" fontId="40" fillId="0" borderId="0" xfId="0" applyNumberFormat="1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right" vertical="center"/>
    </xf>
    <xf numFmtId="167" fontId="35" fillId="0" borderId="40" xfId="0" applyNumberFormat="1" applyFont="1" applyFill="1" applyBorder="1" applyAlignment="1">
      <alignment horizontal="center" vertical="center"/>
    </xf>
    <xf numFmtId="167" fontId="35" fillId="33" borderId="0" xfId="0" applyNumberFormat="1" applyFont="1" applyFill="1" applyBorder="1" applyAlignment="1">
      <alignment horizontal="center" vertical="center"/>
    </xf>
    <xf numFmtId="167" fontId="30" fillId="0" borderId="0" xfId="37" applyNumberFormat="1" applyFont="1" applyFill="1" applyBorder="1" applyAlignment="1">
      <alignment horizontal="center" vertical="center"/>
    </xf>
    <xf numFmtId="167" fontId="30" fillId="0" borderId="0" xfId="37" applyNumberFormat="1" applyFont="1" applyFill="1" applyAlignment="1">
      <alignment horizontal="center" vertical="center"/>
    </xf>
    <xf numFmtId="0" fontId="31" fillId="25" borderId="18" xfId="0" applyFont="1" applyFill="1" applyBorder="1" applyAlignment="1"/>
    <xf numFmtId="0" fontId="31" fillId="25" borderId="19" xfId="0" applyFont="1" applyFill="1" applyBorder="1" applyAlignment="1"/>
    <xf numFmtId="4" fontId="30" fillId="0" borderId="18" xfId="0" applyNumberFormat="1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center" vertical="center"/>
    </xf>
    <xf numFmtId="167" fontId="30" fillId="0" borderId="23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167" fontId="30" fillId="24" borderId="27" xfId="0" applyNumberFormat="1" applyFont="1" applyFill="1" applyBorder="1" applyAlignment="1">
      <alignment horizontal="center" vertical="center"/>
    </xf>
    <xf numFmtId="167" fontId="30" fillId="24" borderId="23" xfId="0" applyNumberFormat="1" applyFont="1" applyFill="1" applyBorder="1" applyAlignment="1">
      <alignment horizontal="center" vertical="center"/>
    </xf>
    <xf numFmtId="167" fontId="30" fillId="24" borderId="32" xfId="0" applyNumberFormat="1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167" fontId="30" fillId="33" borderId="22" xfId="0" applyNumberFormat="1" applyFont="1" applyFill="1" applyBorder="1" applyAlignment="1">
      <alignment horizontal="center" vertical="center"/>
    </xf>
    <xf numFmtId="167" fontId="30" fillId="0" borderId="41" xfId="0" applyNumberFormat="1" applyFont="1" applyFill="1" applyBorder="1" applyAlignment="1">
      <alignment horizontal="center" vertical="center"/>
    </xf>
    <xf numFmtId="167" fontId="30" fillId="0" borderId="30" xfId="0" applyNumberFormat="1" applyFont="1" applyFill="1" applyBorder="1" applyAlignment="1">
      <alignment horizontal="center" vertical="center"/>
    </xf>
    <xf numFmtId="167" fontId="31" fillId="25" borderId="0" xfId="0" applyNumberFormat="1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167" fontId="35" fillId="25" borderId="0" xfId="0" applyNumberFormat="1" applyFont="1" applyFill="1" applyBorder="1" applyAlignment="1">
      <alignment horizontal="center" vertical="center"/>
    </xf>
    <xf numFmtId="167" fontId="30" fillId="25" borderId="0" xfId="0" applyNumberFormat="1" applyFont="1" applyFill="1" applyBorder="1" applyAlignment="1">
      <alignment horizontal="center" vertical="center"/>
    </xf>
    <xf numFmtId="167" fontId="30" fillId="0" borderId="32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167" fontId="30" fillId="0" borderId="31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4" fontId="35" fillId="24" borderId="11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center" vertical="center"/>
    </xf>
    <xf numFmtId="4" fontId="30" fillId="0" borderId="26" xfId="0" applyNumberFormat="1" applyFont="1" applyFill="1" applyBorder="1" applyAlignment="1">
      <alignment horizontal="center" vertical="center"/>
    </xf>
    <xf numFmtId="167" fontId="30" fillId="0" borderId="0" xfId="38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/>
    <xf numFmtId="167" fontId="30" fillId="0" borderId="22" xfId="37" applyNumberFormat="1" applyFont="1" applyFill="1" applyBorder="1" applyAlignment="1">
      <alignment horizontal="center" vertical="center"/>
    </xf>
    <xf numFmtId="167" fontId="30" fillId="0" borderId="27" xfId="37" applyNumberFormat="1" applyFont="1" applyFill="1" applyBorder="1" applyAlignment="1">
      <alignment horizontal="center" vertical="center"/>
    </xf>
    <xf numFmtId="4" fontId="30" fillId="0" borderId="27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0" fillId="31" borderId="0" xfId="0" applyFont="1" applyFill="1" applyBorder="1" applyAlignment="1">
      <alignment horizontal="center" vertical="center"/>
    </xf>
    <xf numFmtId="167" fontId="4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4" fillId="0" borderId="0" xfId="43" applyFont="1" applyFill="1" applyBorder="1" applyAlignment="1">
      <alignment horizontal="center" vertical="center" wrapText="1"/>
    </xf>
    <xf numFmtId="0" fontId="32" fillId="0" borderId="0" xfId="43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Alignment="1">
      <alignment horizontal="center" vertical="center"/>
    </xf>
    <xf numFmtId="167" fontId="38" fillId="0" borderId="0" xfId="0" applyNumberFormat="1" applyFont="1" applyFill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right" vertical="center"/>
    </xf>
    <xf numFmtId="167" fontId="38" fillId="0" borderId="12" xfId="0" applyNumberFormat="1" applyFont="1" applyFill="1" applyBorder="1" applyAlignment="1">
      <alignment horizontal="center" vertical="center"/>
    </xf>
    <xf numFmtId="167" fontId="30" fillId="0" borderId="29" xfId="0" applyNumberFormat="1" applyFont="1" applyFill="1" applyBorder="1" applyAlignment="1">
      <alignment horizontal="center" vertical="center"/>
    </xf>
    <xf numFmtId="167" fontId="30" fillId="0" borderId="43" xfId="0" applyNumberFormat="1" applyFont="1" applyFill="1" applyBorder="1" applyAlignment="1">
      <alignment horizontal="center" vertical="center"/>
    </xf>
    <xf numFmtId="167" fontId="30" fillId="0" borderId="45" xfId="0" applyNumberFormat="1" applyFont="1" applyFill="1" applyBorder="1" applyAlignment="1">
      <alignment horizontal="center" vertical="center"/>
    </xf>
    <xf numFmtId="167" fontId="30" fillId="0" borderId="46" xfId="0" applyNumberFormat="1" applyFont="1" applyFill="1" applyBorder="1" applyAlignment="1">
      <alignment horizontal="center" vertical="center"/>
    </xf>
    <xf numFmtId="167" fontId="30" fillId="0" borderId="4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167" fontId="32" fillId="0" borderId="0" xfId="0" applyNumberFormat="1" applyFont="1" applyFill="1"/>
    <xf numFmtId="167" fontId="42" fillId="0" borderId="47" xfId="0" applyNumberFormat="1" applyFont="1" applyFill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0" fontId="40" fillId="24" borderId="4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0" fontId="2" fillId="0" borderId="0" xfId="0" applyFont="1"/>
    <xf numFmtId="0" fontId="30" fillId="33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1" fillId="35" borderId="34" xfId="48" applyBorder="1" applyAlignment="1">
      <alignment horizontal="center" vertical="center" wrapText="1"/>
    </xf>
    <xf numFmtId="167" fontId="1" fillId="35" borderId="0" xfId="48" applyNumberFormat="1" applyBorder="1" applyAlignment="1">
      <alignment horizontal="center" vertical="center"/>
    </xf>
    <xf numFmtId="167" fontId="1" fillId="35" borderId="34" xfId="48" applyNumberFormat="1" applyBorder="1" applyAlignment="1">
      <alignment horizontal="center" vertical="center"/>
    </xf>
    <xf numFmtId="167" fontId="1" fillId="35" borderId="32" xfId="48" applyNumberForma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167" fontId="35" fillId="0" borderId="47" xfId="0" applyNumberFormat="1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right" vertical="center"/>
    </xf>
    <xf numFmtId="167" fontId="35" fillId="0" borderId="31" xfId="0" applyNumberFormat="1" applyFont="1" applyFill="1" applyBorder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 wrapText="1"/>
    </xf>
    <xf numFmtId="167" fontId="30" fillId="0" borderId="2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/>
    <xf numFmtId="167" fontId="32" fillId="0" borderId="47" xfId="0" applyNumberFormat="1" applyFont="1" applyFill="1" applyBorder="1" applyAlignment="1">
      <alignment horizontal="center" vertical="center"/>
    </xf>
    <xf numFmtId="167" fontId="30" fillId="0" borderId="4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horizontal="left" wrapText="1"/>
    </xf>
    <xf numFmtId="167" fontId="30" fillId="33" borderId="30" xfId="0" applyNumberFormat="1" applyFont="1" applyFill="1" applyBorder="1" applyAlignment="1">
      <alignment horizontal="center" vertical="center"/>
    </xf>
    <xf numFmtId="167" fontId="30" fillId="33" borderId="2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0" fillId="37" borderId="0" xfId="0" applyFont="1" applyFill="1" applyBorder="1" applyAlignment="1">
      <alignment horizontal="center" vertical="center"/>
    </xf>
    <xf numFmtId="167" fontId="30" fillId="37" borderId="0" xfId="0" applyNumberFormat="1" applyFont="1" applyFill="1" applyBorder="1" applyAlignment="1">
      <alignment horizontal="center" vertical="center"/>
    </xf>
    <xf numFmtId="0" fontId="32" fillId="37" borderId="0" xfId="0" applyFont="1" applyFill="1" applyAlignment="1">
      <alignment horizontal="left" vertical="center" wrapText="1"/>
    </xf>
    <xf numFmtId="0" fontId="30" fillId="37" borderId="0" xfId="0" applyFont="1" applyFill="1" applyAlignment="1">
      <alignment horizontal="center" vertical="center" wrapText="1"/>
    </xf>
    <xf numFmtId="167" fontId="30" fillId="0" borderId="18" xfId="0" applyNumberFormat="1" applyFont="1" applyFill="1" applyBorder="1" applyAlignment="1">
      <alignment horizontal="center" vertical="center"/>
    </xf>
    <xf numFmtId="167" fontId="30" fillId="0" borderId="33" xfId="0" applyNumberFormat="1" applyFont="1" applyFill="1" applyBorder="1" applyAlignment="1">
      <alignment horizontal="center" vertical="center"/>
    </xf>
    <xf numFmtId="167" fontId="30" fillId="0" borderId="0" xfId="0" applyNumberFormat="1" applyFont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165" fontId="30" fillId="0" borderId="0" xfId="38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vertical="center" wrapText="1"/>
    </xf>
    <xf numFmtId="0" fontId="39" fillId="37" borderId="0" xfId="0" applyFont="1" applyFill="1" applyBorder="1" applyAlignment="1">
      <alignment horizontal="left" vertical="center" wrapText="1"/>
    </xf>
    <xf numFmtId="0" fontId="30" fillId="37" borderId="21" xfId="0" applyFont="1" applyFill="1" applyBorder="1" applyAlignment="1">
      <alignment horizontal="center" vertical="center"/>
    </xf>
    <xf numFmtId="0" fontId="30" fillId="37" borderId="32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25" borderId="31" xfId="0" applyFont="1" applyFill="1" applyBorder="1" applyAlignment="1">
      <alignment vertical="center"/>
    </xf>
    <xf numFmtId="0" fontId="45" fillId="25" borderId="19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48" fillId="25" borderId="0" xfId="0" applyFont="1" applyFill="1" applyBorder="1" applyAlignment="1"/>
    <xf numFmtId="0" fontId="30" fillId="0" borderId="0" xfId="0" applyFont="1" applyFill="1" applyAlignment="1">
      <alignment horizontal="left" vertical="center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32" xfId="0" applyFont="1" applyFill="1" applyBorder="1" applyAlignment="1">
      <alignment horizontal="center" vertical="center" wrapText="1"/>
    </xf>
    <xf numFmtId="0" fontId="48" fillId="25" borderId="0" xfId="0" applyFont="1" applyFill="1" applyAlignment="1">
      <alignment horizontal="center" vertical="center"/>
    </xf>
    <xf numFmtId="0" fontId="30" fillId="37" borderId="0" xfId="0" applyFont="1" applyFill="1" applyAlignment="1">
      <alignment horizontal="center" vertical="center"/>
    </xf>
    <xf numFmtId="0" fontId="30" fillId="29" borderId="32" xfId="0" applyFont="1" applyFill="1" applyBorder="1" applyAlignment="1">
      <alignment horizontal="center" vertical="center"/>
    </xf>
    <xf numFmtId="0" fontId="30" fillId="32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2" fontId="32" fillId="36" borderId="17" xfId="0" applyNumberFormat="1" applyFont="1" applyFill="1" applyBorder="1" applyAlignment="1">
      <alignment horizontal="left" vertical="center" wrapText="1"/>
    </xf>
    <xf numFmtId="0" fontId="30" fillId="36" borderId="17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 wrapText="1"/>
    </xf>
    <xf numFmtId="167" fontId="30" fillId="36" borderId="20" xfId="0" applyNumberFormat="1" applyFont="1" applyFill="1" applyBorder="1" applyAlignment="1">
      <alignment horizontal="center" vertical="center"/>
    </xf>
    <xf numFmtId="167" fontId="30" fillId="36" borderId="17" xfId="0" applyNumberFormat="1" applyFont="1" applyFill="1" applyBorder="1" applyAlignment="1">
      <alignment horizontal="center" vertical="center"/>
    </xf>
    <xf numFmtId="167" fontId="30" fillId="36" borderId="33" xfId="0" applyNumberFormat="1" applyFont="1" applyFill="1" applyBorder="1" applyAlignment="1">
      <alignment horizontal="center" vertical="center"/>
    </xf>
    <xf numFmtId="167" fontId="30" fillId="36" borderId="18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 shrinkToFit="1"/>
    </xf>
    <xf numFmtId="165" fontId="32" fillId="0" borderId="0" xfId="38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right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left" vertical="center"/>
    </xf>
    <xf numFmtId="0" fontId="38" fillId="25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0" fillId="33" borderId="18" xfId="0" applyFont="1" applyFill="1" applyBorder="1" applyAlignment="1">
      <alignment horizontal="center" vertical="center" wrapText="1"/>
    </xf>
    <xf numFmtId="165" fontId="43" fillId="0" borderId="0" xfId="38" applyFont="1" applyFill="1" applyAlignment="1">
      <alignment horizontal="center"/>
    </xf>
    <xf numFmtId="0" fontId="47" fillId="0" borderId="0" xfId="0" applyFont="1" applyFill="1" applyAlignment="1">
      <alignment vertical="center"/>
    </xf>
    <xf numFmtId="165" fontId="50" fillId="25" borderId="0" xfId="38" applyFont="1" applyFill="1" applyBorder="1" applyAlignment="1">
      <alignment horizontal="center" vertical="center"/>
    </xf>
    <xf numFmtId="0" fontId="51" fillId="25" borderId="0" xfId="0" applyFont="1" applyFill="1" applyBorder="1" applyAlignment="1">
      <alignment vertical="center"/>
    </xf>
    <xf numFmtId="165" fontId="52" fillId="0" borderId="0" xfId="38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65" fontId="43" fillId="0" borderId="0" xfId="38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165" fontId="53" fillId="0" borderId="42" xfId="38" applyFont="1" applyFill="1" applyBorder="1" applyAlignment="1">
      <alignment horizontal="center" vertical="center"/>
    </xf>
    <xf numFmtId="167" fontId="47" fillId="0" borderId="14" xfId="0" applyNumberFormat="1" applyFont="1" applyFill="1" applyBorder="1" applyAlignment="1">
      <alignment horizontal="center" vertical="center"/>
    </xf>
    <xf numFmtId="165" fontId="53" fillId="0" borderId="12" xfId="38" applyFont="1" applyFill="1" applyBorder="1" applyAlignment="1">
      <alignment horizontal="center" vertical="center"/>
    </xf>
    <xf numFmtId="167" fontId="47" fillId="0" borderId="12" xfId="0" applyNumberFormat="1" applyFont="1" applyFill="1" applyBorder="1" applyAlignment="1">
      <alignment horizontal="center" vertical="center"/>
    </xf>
    <xf numFmtId="165" fontId="43" fillId="0" borderId="0" xfId="38" applyFont="1" applyAlignment="1">
      <alignment horizontal="center"/>
    </xf>
    <xf numFmtId="0" fontId="47" fillId="0" borderId="0" xfId="0" applyFont="1" applyFill="1" applyAlignment="1">
      <alignment horizontal="right"/>
    </xf>
    <xf numFmtId="0" fontId="51" fillId="25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 wrapText="1"/>
    </xf>
    <xf numFmtId="167" fontId="26" fillId="0" borderId="0" xfId="0" applyNumberFormat="1" applyFont="1" applyFill="1" applyBorder="1" applyAlignment="1">
      <alignment horizontal="right"/>
    </xf>
    <xf numFmtId="167" fontId="47" fillId="0" borderId="14" xfId="0" applyNumberFormat="1" applyFont="1" applyFill="1" applyBorder="1" applyAlignment="1">
      <alignment horizontal="right"/>
    </xf>
    <xf numFmtId="167" fontId="47" fillId="0" borderId="12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7" fontId="43" fillId="0" borderId="0" xfId="38" applyNumberFormat="1" applyFont="1" applyFill="1" applyBorder="1" applyAlignment="1">
      <alignment horizontal="right"/>
    </xf>
    <xf numFmtId="0" fontId="30" fillId="24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22" fillId="38" borderId="0" xfId="0" applyFont="1" applyFill="1"/>
    <xf numFmtId="0" fontId="30" fillId="0" borderId="0" xfId="0" applyFont="1" applyFill="1" applyAlignment="1">
      <alignment horizontal="center"/>
    </xf>
    <xf numFmtId="165" fontId="35" fillId="0" borderId="0" xfId="38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167" fontId="26" fillId="0" borderId="14" xfId="0" applyNumberFormat="1" applyFont="1" applyFill="1" applyBorder="1" applyAlignment="1">
      <alignment horizontal="center" vertical="center"/>
    </xf>
    <xf numFmtId="167" fontId="26" fillId="0" borderId="1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67" fontId="35" fillId="0" borderId="30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Border="1" applyAlignment="1">
      <alignment vertical="center"/>
    </xf>
    <xf numFmtId="167" fontId="35" fillId="0" borderId="0" xfId="0" applyNumberFormat="1" applyFont="1" applyFill="1" applyAlignment="1">
      <alignment vertical="center"/>
    </xf>
    <xf numFmtId="167" fontId="35" fillId="0" borderId="1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7" fontId="35" fillId="33" borderId="17" xfId="0" applyNumberFormat="1" applyFont="1" applyFill="1" applyBorder="1" applyAlignment="1">
      <alignment horizontal="center" vertical="center"/>
    </xf>
    <xf numFmtId="167" fontId="35" fillId="0" borderId="38" xfId="0" applyNumberFormat="1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30" fillId="26" borderId="22" xfId="0" applyFont="1" applyFill="1" applyBorder="1" applyAlignment="1">
      <alignment horizontal="center" vertical="center"/>
    </xf>
    <xf numFmtId="0" fontId="30" fillId="26" borderId="34" xfId="0" applyFont="1" applyFill="1" applyBorder="1" applyAlignment="1">
      <alignment horizontal="center" vertical="center"/>
    </xf>
    <xf numFmtId="0" fontId="30" fillId="26" borderId="31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0" fillId="30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/>
    </xf>
    <xf numFmtId="0" fontId="30" fillId="29" borderId="34" xfId="0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167" fontId="30" fillId="33" borderId="38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right"/>
    </xf>
    <xf numFmtId="165" fontId="32" fillId="0" borderId="47" xfId="38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9" fillId="0" borderId="0" xfId="0" applyFont="1" applyAlignment="1">
      <alignment horizontal="left" vertical="center" wrapText="1"/>
    </xf>
    <xf numFmtId="167" fontId="30" fillId="33" borderId="0" xfId="38" applyNumberFormat="1" applyFont="1" applyFill="1" applyBorder="1" applyAlignment="1">
      <alignment horizontal="center" vertical="center"/>
    </xf>
    <xf numFmtId="167" fontId="30" fillId="24" borderId="30" xfId="0" applyNumberFormat="1" applyFont="1" applyFill="1" applyBorder="1" applyAlignment="1">
      <alignment horizontal="center" vertical="center"/>
    </xf>
    <xf numFmtId="165" fontId="32" fillId="0" borderId="43" xfId="38" applyFont="1" applyFill="1" applyBorder="1" applyAlignment="1">
      <alignment horizontal="center" vertical="center"/>
    </xf>
    <xf numFmtId="167" fontId="25" fillId="0" borderId="43" xfId="0" applyNumberFormat="1" applyFont="1" applyFill="1" applyBorder="1" applyAlignment="1">
      <alignment horizontal="center" vertical="center"/>
    </xf>
    <xf numFmtId="167" fontId="32" fillId="0" borderId="43" xfId="0" applyNumberFormat="1" applyFont="1" applyFill="1" applyBorder="1" applyAlignment="1">
      <alignment horizontal="center" vertical="center"/>
    </xf>
    <xf numFmtId="167" fontId="55" fillId="34" borderId="13" xfId="47" applyNumberFormat="1" applyFont="1" applyBorder="1" applyAlignment="1">
      <alignment horizontal="center" vertical="center"/>
    </xf>
    <xf numFmtId="0" fontId="36" fillId="0" borderId="31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167" fontId="35" fillId="0" borderId="35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/>
    </xf>
    <xf numFmtId="167" fontId="35" fillId="37" borderId="0" xfId="0" applyNumberFormat="1" applyFont="1" applyFill="1" applyBorder="1" applyAlignment="1">
      <alignment horizontal="center" vertical="center"/>
    </xf>
    <xf numFmtId="167" fontId="30" fillId="37" borderId="32" xfId="0" applyNumberFormat="1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left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/>
    </xf>
    <xf numFmtId="167" fontId="32" fillId="37" borderId="0" xfId="0" applyNumberFormat="1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3" xfId="48" builtinId="38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uena" xfId="47" builtinId="26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37" builtinId="3"/>
    <cellStyle name="Moneda" xfId="38" builtinId="4"/>
    <cellStyle name="Neutral" xfId="39" builtinId="28" customBuiltin="1"/>
    <cellStyle name="Normal" xfId="0" builtinId="0"/>
    <cellStyle name="Normal 2" xfId="46"/>
    <cellStyle name="Normal 3" xfId="40"/>
    <cellStyle name="Note" xfId="41"/>
    <cellStyle name="Output" xfId="42"/>
    <cellStyle name="Title" xfId="43"/>
    <cellStyle name="Total" xfId="44" builtinId="25" customBuiltin="1"/>
    <cellStyle name="Warning Text" xfId="45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996600"/>
      <color rgb="FFFFFFFF"/>
      <color rgb="FFFFFFCC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4/1ER%20QUINCENA%20ENERO%2024/1ER%20%20QUINCENA%20ENERO%202024%20%20FIRMAS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1ER%20NOMINA%20SEP/1ER%20%20QUINCENA%20SEPTIEMBRE%20%20%20%202022,%20FIRMA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ownloads/1RA%20QUINCENA%20MAR%20%202022%20FIRMA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2DA%20NOMINA%20DE%20SEPTIEMBRE%202023/2DA%20%20QUINCENA%20SEPTIEMBRE%20%202023%20FIRM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2DA%20QUINCENA%20FEB%2023/2DA%20%20%20QUINCENA%20FEB%20%20%202023,%20FIRMA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ownloads/2DA%20QUINCENA%20ENERO%20%20%202022%20FIRMAS%20ok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4/1ER.%20QUINCENA%20MARZO%2024/1ER%20%20QUINCENA%20MARZO%202024%20%20FIRMA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esktop/1RA%20QUINCENA%20NOV21/1RA%20QUINCENA%20NOVIEMBRE%20%202021%20FIRMA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esktop/2DA%20QUINCENA%20FEBRERO%202022/2DA%20QUINCENA%20FEB%20%20%202022%20FIRMA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esktop/2DA%20QUINC%20MAR/2DA%20%20QUINCENA%20MAR%20%202022%20FIRMA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2DA%20QUINCENA%20DE%20JULIO%2023/2DA%20QUINCENA%20%20%20JULIO%20%202023,%20FIRMAS%20AUTOMATIC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esktop/1ER%20QUINCENA%20OCT21/1RA%20QUINCENA%20DE%20OCTUBRE%202021,%20FIRMA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1ER%20QUINCENA%20OCTUBRE%202022/1ER%20%20%20QUINCENA%20OCTUBRE%20%20%202022,%20FIRMAS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4/1ER%20QUINCENA%20FEBRERO%202024/1ER%20%20%20QUINCENA%20FEBRERO%202024%20%20FIRMAS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1ER%20QUINCENA%20AGOSTO%202023/1R%20QUINCENA%20AGOSTOS%202023%20FIRMAS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2DA%20QUINCENA%20ABRIL%202023/2DA%20QUINCENA%20ABRIL%202023,%20FIRMAS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1ER%20QUINCENA%20OCTUBRE%202023/1ER%20%20%20QUINCENA%20OCTUBRE%20%202023%20FIRMA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2DA%20QUINCENA%20MAYO%2023/2DA%20%20QUINCENA%20MAYO%202023,%20FIRMA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1ER%20QUINCENA%20MARZO%2023/1ER%20%20%20%20QUINCENA%20MAR%20%20%20%202023,%20FIRMAS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2DA%20QUINCENA%20OCTUBRE%202022/2DA%20%20%20QUINCENA%20OCTUBRE%20%20%202022,%20FIRMAS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2DA%20QUINCENA%20NOVIEMBRE%202023/2DA%20%20%20QUINCENA%20NOVIEMBRE%20%202023%20FIRMAS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1ER%20QUINCENA%20NOVIEMBRE%202023/1ER%20%20QUINCENA%20NOVIEMBRE%20%202023%20FIRMA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%20%20%20QUINCENA%20ABRIL%20%202024%20%20FIRMAS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2DA%20QUINCENA%20OCTUBRE%202023/2DA%20QUINCENA%20OCTUBRE%20%202023%20FIRMAS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4/2DA%20QUINCENA%20MARZO%2024/2DA%20%20%20QUINCENA%20MARZO%202024%20%20FIRMA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4/2DA%20QUINCENA%20ENERO%2024/2DA%20%20QUINCENA%20ENERO%202024%20%20FIRMA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NOMINAS%202023/2DA%20QUINCENA%20DE%20JULIO%2023/2DA%20QUINCENA%20%20%20JUNIO%20%202023,%20FIRMAS%20AUTOMATIC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1ER%20QUINCENA%20ENERO%202023/1ER%20%20%20QUINCENA%20DICIEMBRE%20%20%202022,%20FIRMA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esktop/NOMINAS%20OCT-DIC%202021/2DA%20QUIN%20DIC%202021/2DA%20QUINCENA%20DICIEMBRE%20%20%202021%20FIRMAS%20ok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/Desktop/2DA%20QUINCENA%20ABRIL%202022/2DA%20QUINCENA%20ABRIL%20%20%202022%20FIRMA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RECURSOS%20HUMANOS1/Desktop/1ER%20QUINCENA%20NOV%202022/1ER%20%20%20QUINCENA%20NOV%20%20%202022,%20FIRM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15">
          <cell r="H15">
            <v>111880.25572500002</v>
          </cell>
          <cell r="I15">
            <v>4507.0971750000008</v>
          </cell>
        </row>
        <row r="22">
          <cell r="I22">
            <v>1573.9069500000001</v>
          </cell>
        </row>
        <row r="30">
          <cell r="H30">
            <v>28636.191674999998</v>
          </cell>
          <cell r="I30">
            <v>1360.3416750000004</v>
          </cell>
        </row>
        <row r="39">
          <cell r="H39">
            <v>40834.787174999998</v>
          </cell>
          <cell r="I39">
            <v>1861.1302500000004</v>
          </cell>
        </row>
        <row r="57">
          <cell r="H57">
            <v>57433.57987500001</v>
          </cell>
          <cell r="I57">
            <v>1816.6884750000004</v>
          </cell>
        </row>
        <row r="64">
          <cell r="H64">
            <v>15077.191500000001</v>
          </cell>
          <cell r="I64">
            <v>476.94150000000002</v>
          </cell>
        </row>
        <row r="99">
          <cell r="H99">
            <v>48238.608600000007</v>
          </cell>
          <cell r="I99">
            <v>958.55760000000009</v>
          </cell>
        </row>
        <row r="106">
          <cell r="H106">
            <v>5250</v>
          </cell>
        </row>
        <row r="118">
          <cell r="H118">
            <v>26205.399675000001</v>
          </cell>
          <cell r="I118">
            <v>505.65060000000011</v>
          </cell>
        </row>
        <row r="130">
          <cell r="H130">
            <v>31713.349500000008</v>
          </cell>
          <cell r="I130">
            <v>504.90340000000003</v>
          </cell>
        </row>
        <row r="159">
          <cell r="H159">
            <v>17190.070800000001</v>
          </cell>
          <cell r="I159">
            <v>505.65060000000011</v>
          </cell>
        </row>
        <row r="166">
          <cell r="H166">
            <v>8031.933</v>
          </cell>
          <cell r="I166">
            <v>180.01620000000003</v>
          </cell>
        </row>
        <row r="185">
          <cell r="H185">
            <v>49838.115600000005</v>
          </cell>
          <cell r="I185">
            <v>1577.7216000000003</v>
          </cell>
        </row>
        <row r="198">
          <cell r="H198">
            <v>69347.525625000009</v>
          </cell>
          <cell r="I198">
            <v>2106.8775000000005</v>
          </cell>
        </row>
        <row r="207">
          <cell r="L207">
            <v>0</v>
          </cell>
        </row>
        <row r="228">
          <cell r="I228">
            <v>620.25547500000016</v>
          </cell>
        </row>
        <row r="247">
          <cell r="H247">
            <v>21080.241000000002</v>
          </cell>
          <cell r="I247">
            <v>505.65060000000011</v>
          </cell>
        </row>
        <row r="257">
          <cell r="H257">
            <v>26225.101350000004</v>
          </cell>
          <cell r="I257">
            <v>1092.1989750000002</v>
          </cell>
        </row>
        <row r="264">
          <cell r="H264">
            <v>30088.989000000005</v>
          </cell>
          <cell r="I264">
            <v>1018.71</v>
          </cell>
        </row>
        <row r="302">
          <cell r="H302">
            <v>23870.777175000003</v>
          </cell>
          <cell r="I302">
            <v>839.43510000000003</v>
          </cell>
        </row>
        <row r="328">
          <cell r="I328">
            <v>1702.7010000000002</v>
          </cell>
        </row>
        <row r="333">
          <cell r="H333">
            <v>7343.9730000000009</v>
          </cell>
          <cell r="I333">
            <v>209.82780000000002</v>
          </cell>
        </row>
        <row r="343">
          <cell r="H343">
            <v>43029.604800000001</v>
          </cell>
          <cell r="I343">
            <v>673.92517500000008</v>
          </cell>
        </row>
        <row r="349">
          <cell r="H349">
            <v>16922.669400000002</v>
          </cell>
          <cell r="I349">
            <v>411.58530000000007</v>
          </cell>
        </row>
        <row r="369">
          <cell r="I369">
            <v>211.84537500000002</v>
          </cell>
        </row>
        <row r="380">
          <cell r="H380">
            <v>45140.634525000009</v>
          </cell>
          <cell r="I380">
            <v>469.20195000000012</v>
          </cell>
        </row>
        <row r="384">
          <cell r="H384">
            <v>4064.4213750000008</v>
          </cell>
        </row>
        <row r="399">
          <cell r="H399">
            <v>43754.994675000009</v>
          </cell>
          <cell r="I399">
            <v>722.43517500000007</v>
          </cell>
        </row>
        <row r="408">
          <cell r="H408">
            <v>15953.549850000003</v>
          </cell>
          <cell r="I408">
            <v>252.25200000000001</v>
          </cell>
        </row>
        <row r="423">
          <cell r="I423">
            <v>561.83400000000006</v>
          </cell>
        </row>
        <row r="438">
          <cell r="H438">
            <v>42821.141475000004</v>
          </cell>
          <cell r="I438">
            <v>462.07980000000003</v>
          </cell>
        </row>
        <row r="443">
          <cell r="H443">
            <v>7387.5768750000007</v>
          </cell>
        </row>
        <row r="506">
          <cell r="H506">
            <v>2533.9860000000003</v>
          </cell>
        </row>
      </sheetData>
      <sheetData sheetId="2">
        <row r="23">
          <cell r="I23">
            <v>317.07900000000001</v>
          </cell>
        </row>
      </sheetData>
      <sheetData sheetId="3">
        <row r="34">
          <cell r="I34">
            <v>505.6506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33">
          <cell r="H33">
            <v>25973.87</v>
          </cell>
        </row>
        <row r="89">
          <cell r="J89">
            <v>0</v>
          </cell>
        </row>
        <row r="110">
          <cell r="J110">
            <v>360</v>
          </cell>
        </row>
        <row r="220">
          <cell r="J220">
            <v>0</v>
          </cell>
        </row>
        <row r="249">
          <cell r="J249">
            <v>232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32">
          <cell r="L32">
            <v>800</v>
          </cell>
        </row>
        <row r="97">
          <cell r="J9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113">
          <cell r="I113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4">
          <cell r="H24">
            <v>38502.786</v>
          </cell>
        </row>
        <row r="129">
          <cell r="J129">
            <v>424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L15">
            <v>0</v>
          </cell>
        </row>
        <row r="141">
          <cell r="J141">
            <v>360</v>
          </cell>
        </row>
        <row r="154">
          <cell r="J154">
            <v>230</v>
          </cell>
        </row>
      </sheetData>
      <sheetData sheetId="2" refreshError="1">
        <row r="25">
          <cell r="H25">
            <v>72812.27</v>
          </cell>
          <cell r="K25">
            <v>0</v>
          </cell>
        </row>
      </sheetData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86">
          <cell r="H86">
            <v>3360</v>
          </cell>
        </row>
        <row r="142">
          <cell r="H142">
            <v>38303.496000000006</v>
          </cell>
          <cell r="I142">
            <v>2091.3984000000005</v>
          </cell>
        </row>
        <row r="150">
          <cell r="H150">
            <v>6855.84</v>
          </cell>
          <cell r="I150">
            <v>0</v>
          </cell>
        </row>
        <row r="205">
          <cell r="H205">
            <v>3900</v>
          </cell>
          <cell r="I205">
            <v>0</v>
          </cell>
          <cell r="M205">
            <v>3900</v>
          </cell>
        </row>
        <row r="292">
          <cell r="H292">
            <v>96285.459375000006</v>
          </cell>
          <cell r="I292">
            <v>1719.0731250000001</v>
          </cell>
          <cell r="K292">
            <v>1890</v>
          </cell>
        </row>
        <row r="421">
          <cell r="H421">
            <v>42988.511474999999</v>
          </cell>
          <cell r="J421">
            <v>669</v>
          </cell>
        </row>
        <row r="489">
          <cell r="H489">
            <v>200692.67242500006</v>
          </cell>
          <cell r="J489">
            <v>3344</v>
          </cell>
        </row>
        <row r="500">
          <cell r="H500">
            <v>25119.282375000003</v>
          </cell>
          <cell r="J500">
            <v>820</v>
          </cell>
          <cell r="K500">
            <v>126</v>
          </cell>
        </row>
      </sheetData>
      <sheetData sheetId="2"/>
      <sheetData sheetId="3">
        <row r="37">
          <cell r="J37">
            <v>1800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3">
          <cell r="H23">
            <v>28604</v>
          </cell>
        </row>
        <row r="163">
          <cell r="J163">
            <v>90</v>
          </cell>
        </row>
        <row r="203">
          <cell r="K203">
            <v>126</v>
          </cell>
        </row>
        <row r="262">
          <cell r="J262">
            <v>180</v>
          </cell>
        </row>
        <row r="320">
          <cell r="H320">
            <v>0</v>
          </cell>
          <cell r="J320">
            <v>0</v>
          </cell>
          <cell r="M32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90">
          <cell r="J90">
            <v>90</v>
          </cell>
        </row>
        <row r="177">
          <cell r="J177">
            <v>0</v>
          </cell>
        </row>
        <row r="266">
          <cell r="J266">
            <v>0</v>
          </cell>
          <cell r="K266">
            <v>280</v>
          </cell>
        </row>
        <row r="275">
          <cell r="J27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10">
          <cell r="H110">
            <v>46251.920000000006</v>
          </cell>
        </row>
        <row r="184">
          <cell r="H184">
            <v>0</v>
          </cell>
          <cell r="I184">
            <v>0</v>
          </cell>
          <cell r="M184">
            <v>0</v>
          </cell>
        </row>
      </sheetData>
      <sheetData sheetId="2" refreshError="1"/>
      <sheetData sheetId="3" refreshError="1">
        <row r="31">
          <cell r="I31">
            <v>458.64</v>
          </cell>
          <cell r="K31">
            <v>0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  <sheetName val="PERSONAL AYUNTAMIENTO"/>
    </sheetNames>
    <sheetDataSet>
      <sheetData sheetId="0"/>
      <sheetData sheetId="1">
        <row r="237">
          <cell r="J237">
            <v>1616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H15">
            <v>98523</v>
          </cell>
          <cell r="J15">
            <v>0</v>
          </cell>
          <cell r="K15">
            <v>0</v>
          </cell>
        </row>
        <row r="23">
          <cell r="K23">
            <v>0</v>
          </cell>
        </row>
        <row r="31">
          <cell r="J31">
            <v>0</v>
          </cell>
          <cell r="K31">
            <v>0</v>
          </cell>
        </row>
        <row r="41">
          <cell r="J41">
            <v>0</v>
          </cell>
          <cell r="K41">
            <v>0</v>
          </cell>
        </row>
        <row r="60">
          <cell r="K60">
            <v>0</v>
          </cell>
        </row>
        <row r="67">
          <cell r="J67">
            <v>0</v>
          </cell>
          <cell r="K67">
            <v>0</v>
          </cell>
        </row>
        <row r="75">
          <cell r="J75">
            <v>90</v>
          </cell>
          <cell r="K75">
            <v>0</v>
          </cell>
        </row>
        <row r="90">
          <cell r="K90">
            <v>0</v>
          </cell>
        </row>
        <row r="105">
          <cell r="K105">
            <v>0</v>
          </cell>
        </row>
        <row r="113">
          <cell r="J113">
            <v>0</v>
          </cell>
          <cell r="K113">
            <v>0</v>
          </cell>
        </row>
        <row r="124">
          <cell r="K124">
            <v>0</v>
          </cell>
        </row>
        <row r="135">
          <cell r="K135">
            <v>0</v>
          </cell>
        </row>
        <row r="147">
          <cell r="K147">
            <v>0</v>
          </cell>
        </row>
        <row r="155">
          <cell r="J155">
            <v>0</v>
          </cell>
          <cell r="K155">
            <v>0</v>
          </cell>
        </row>
        <row r="162">
          <cell r="K162">
            <v>0</v>
          </cell>
        </row>
        <row r="170">
          <cell r="K170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187">
          <cell r="K187">
            <v>0</v>
          </cell>
        </row>
        <row r="200">
          <cell r="J200">
            <v>0</v>
          </cell>
        </row>
        <row r="216">
          <cell r="K216">
            <v>0</v>
          </cell>
        </row>
        <row r="256">
          <cell r="K256">
            <v>0</v>
          </cell>
        </row>
        <row r="306">
          <cell r="J306">
            <v>0</v>
          </cell>
          <cell r="K306">
            <v>0</v>
          </cell>
        </row>
        <row r="313">
          <cell r="I313">
            <v>0</v>
          </cell>
          <cell r="K313">
            <v>0</v>
          </cell>
          <cell r="L313">
            <v>0</v>
          </cell>
        </row>
        <row r="352">
          <cell r="K352">
            <v>0</v>
          </cell>
        </row>
        <row r="358">
          <cell r="J358">
            <v>200</v>
          </cell>
          <cell r="K358">
            <v>0</v>
          </cell>
        </row>
        <row r="378">
          <cell r="K378">
            <v>0</v>
          </cell>
        </row>
        <row r="390">
          <cell r="J390">
            <v>480</v>
          </cell>
          <cell r="K390">
            <v>0</v>
          </cell>
        </row>
        <row r="394">
          <cell r="I394">
            <v>0</v>
          </cell>
          <cell r="J394">
            <v>130</v>
          </cell>
          <cell r="K394">
            <v>0</v>
          </cell>
        </row>
        <row r="436">
          <cell r="K436">
            <v>0</v>
          </cell>
        </row>
        <row r="452">
          <cell r="K452">
            <v>0</v>
          </cell>
        </row>
        <row r="456">
          <cell r="I456">
            <v>0</v>
          </cell>
          <cell r="J456">
            <v>155</v>
          </cell>
          <cell r="K456">
            <v>0</v>
          </cell>
        </row>
        <row r="502">
          <cell r="K502">
            <v>0</v>
          </cell>
        </row>
        <row r="513">
          <cell r="I513">
            <v>0</v>
          </cell>
        </row>
        <row r="521">
          <cell r="I521">
            <v>0</v>
          </cell>
          <cell r="J521">
            <v>165</v>
          </cell>
          <cell r="K521">
            <v>0</v>
          </cell>
        </row>
      </sheetData>
      <sheetData sheetId="2" refreshError="1">
        <row r="18">
          <cell r="J18">
            <v>815</v>
          </cell>
        </row>
        <row r="19">
          <cell r="K19">
            <v>0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87">
          <cell r="H87">
            <v>6800.1040000000003</v>
          </cell>
        </row>
        <row r="239">
          <cell r="K239">
            <v>126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237">
          <cell r="H237">
            <v>17122.894425000002</v>
          </cell>
          <cell r="I237">
            <v>252.25200000000001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  <sheetName val="PERSONAL AYUNTAMIENTO"/>
    </sheetNames>
    <sheetDataSet>
      <sheetData sheetId="0"/>
      <sheetData sheetId="1">
        <row r="271">
          <cell r="K271">
            <v>700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83">
          <cell r="J28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337">
          <cell r="J337">
            <v>691</v>
          </cell>
          <cell r="K337">
            <v>0</v>
          </cell>
        </row>
        <row r="409">
          <cell r="J409">
            <v>375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DICE"/>
      <sheetName val="MADRE"/>
      <sheetName val="EVENTUALES"/>
      <sheetName val="EVENTUALES SP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62">
          <cell r="H162">
            <v>15161.496000000001</v>
          </cell>
        </row>
        <row r="354">
          <cell r="J354">
            <v>548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82">
          <cell r="H282">
            <v>51628.500000000007</v>
          </cell>
        </row>
        <row r="406">
          <cell r="K406">
            <v>301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417">
          <cell r="J417">
            <v>215</v>
          </cell>
          <cell r="K417">
            <v>0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447">
          <cell r="J447">
            <v>770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15">
          <cell r="L15">
            <v>0</v>
          </cell>
          <cell r="M15">
            <v>107373.15854999999</v>
          </cell>
        </row>
        <row r="22">
          <cell r="L22">
            <v>0</v>
          </cell>
          <cell r="M22">
            <v>30908.08035</v>
          </cell>
        </row>
        <row r="30">
          <cell r="L30">
            <v>0</v>
          </cell>
          <cell r="M30">
            <v>27275.85</v>
          </cell>
        </row>
        <row r="39">
          <cell r="L39">
            <v>0</v>
          </cell>
          <cell r="M39">
            <v>38973.656925000003</v>
          </cell>
        </row>
        <row r="57">
          <cell r="L57">
            <v>0</v>
          </cell>
          <cell r="M57">
            <v>55796.8914</v>
          </cell>
        </row>
        <row r="64">
          <cell r="L64">
            <v>0</v>
          </cell>
          <cell r="M64">
            <v>14600.25</v>
          </cell>
        </row>
        <row r="79">
          <cell r="H79">
            <v>4420.1430000000009</v>
          </cell>
          <cell r="I79">
            <v>0</v>
          </cell>
          <cell r="L79">
            <v>0</v>
          </cell>
          <cell r="M79">
            <v>4510.1430000000009</v>
          </cell>
        </row>
        <row r="86">
          <cell r="H86">
            <v>11509.570800000001</v>
          </cell>
          <cell r="I86">
            <v>505.65</v>
          </cell>
          <cell r="L86">
            <v>0</v>
          </cell>
          <cell r="M86">
            <v>11003.920800000002</v>
          </cell>
        </row>
        <row r="99">
          <cell r="L99">
            <v>0</v>
          </cell>
          <cell r="M99">
            <v>47640.051000000007</v>
          </cell>
        </row>
        <row r="106">
          <cell r="L106">
            <v>0</v>
          </cell>
          <cell r="M106">
            <v>5250</v>
          </cell>
        </row>
        <row r="118">
          <cell r="L118">
            <v>0</v>
          </cell>
          <cell r="M118">
            <v>26123.749075</v>
          </cell>
        </row>
        <row r="130">
          <cell r="L130">
            <v>0</v>
          </cell>
          <cell r="M130">
            <v>31568.446100000005</v>
          </cell>
        </row>
        <row r="142">
          <cell r="L142">
            <v>0</v>
          </cell>
          <cell r="M142">
            <v>36442.097600000001</v>
          </cell>
        </row>
        <row r="150">
          <cell r="L150">
            <v>0</v>
          </cell>
          <cell r="M150">
            <v>6855.84</v>
          </cell>
        </row>
        <row r="158">
          <cell r="M158">
            <v>16774.4202</v>
          </cell>
        </row>
        <row r="165">
          <cell r="L165">
            <v>0</v>
          </cell>
          <cell r="M165">
            <v>7851.9168</v>
          </cell>
        </row>
        <row r="184">
          <cell r="L184">
            <v>0</v>
          </cell>
          <cell r="M184">
            <v>48440.394</v>
          </cell>
        </row>
        <row r="197">
          <cell r="M197">
            <v>67366.648125000007</v>
          </cell>
        </row>
        <row r="198">
          <cell r="L198">
            <v>0</v>
          </cell>
        </row>
        <row r="226">
          <cell r="H226">
            <v>70583.227299999999</v>
          </cell>
          <cell r="L226">
            <v>0</v>
          </cell>
          <cell r="M226">
            <v>71704.971825000001</v>
          </cell>
        </row>
        <row r="235">
          <cell r="L235">
            <v>0</v>
          </cell>
          <cell r="M235">
            <v>17102.642425000002</v>
          </cell>
        </row>
        <row r="244">
          <cell r="L244">
            <v>0</v>
          </cell>
          <cell r="M244">
            <v>20754.590400000001</v>
          </cell>
        </row>
        <row r="254">
          <cell r="L254">
            <v>0</v>
          </cell>
          <cell r="M254">
            <v>25412.902375000005</v>
          </cell>
        </row>
        <row r="261">
          <cell r="L261">
            <v>0</v>
          </cell>
        </row>
        <row r="273">
          <cell r="L273">
            <v>0</v>
          </cell>
        </row>
        <row r="292">
          <cell r="M292">
            <v>96456.386249999996</v>
          </cell>
        </row>
        <row r="293">
          <cell r="L293">
            <v>0</v>
          </cell>
        </row>
        <row r="302">
          <cell r="L302">
            <v>0</v>
          </cell>
          <cell r="M302">
            <v>23031.342075000004</v>
          </cell>
        </row>
        <row r="328">
          <cell r="H328">
            <v>74283.409199999995</v>
          </cell>
          <cell r="J328">
            <v>586</v>
          </cell>
          <cell r="L328">
            <v>0</v>
          </cell>
          <cell r="M328">
            <v>73166.708199999994</v>
          </cell>
        </row>
        <row r="333">
          <cell r="L333">
            <v>0</v>
          </cell>
          <cell r="M333">
            <v>7134.1452000000008</v>
          </cell>
        </row>
        <row r="343">
          <cell r="L343">
            <v>0</v>
          </cell>
          <cell r="M343">
            <v>42903.679624999997</v>
          </cell>
        </row>
        <row r="349">
          <cell r="L349">
            <v>0</v>
          </cell>
          <cell r="M349">
            <v>16711.084100000004</v>
          </cell>
        </row>
        <row r="369">
          <cell r="H369">
            <v>82527.796785000013</v>
          </cell>
          <cell r="J369">
            <v>1616</v>
          </cell>
          <cell r="L369">
            <v>0</v>
          </cell>
          <cell r="M369">
            <v>83931.951410000009</v>
          </cell>
        </row>
        <row r="380">
          <cell r="L380">
            <v>0</v>
          </cell>
          <cell r="M380">
            <v>45151.432575000006</v>
          </cell>
        </row>
        <row r="384">
          <cell r="L384">
            <v>0</v>
          </cell>
          <cell r="M384">
            <v>4194.4213750000008</v>
          </cell>
        </row>
        <row r="398">
          <cell r="L398">
            <v>0</v>
          </cell>
          <cell r="M398">
            <v>39429.05950000001</v>
          </cell>
        </row>
        <row r="407">
          <cell r="L407">
            <v>0</v>
          </cell>
          <cell r="M407">
            <v>15916.297850000003</v>
          </cell>
        </row>
        <row r="421">
          <cell r="L421">
            <v>0</v>
          </cell>
          <cell r="M421">
            <v>43095.677474999997</v>
          </cell>
        </row>
        <row r="436">
          <cell r="L436">
            <v>0</v>
          </cell>
          <cell r="M436">
            <v>43129.061675000004</v>
          </cell>
        </row>
        <row r="441">
          <cell r="M441">
            <v>7542.5768750000007</v>
          </cell>
        </row>
        <row r="442">
          <cell r="L442">
            <v>0</v>
          </cell>
        </row>
        <row r="489">
          <cell r="L489">
            <v>0</v>
          </cell>
          <cell r="M489">
            <v>204036.67242500008</v>
          </cell>
        </row>
        <row r="500">
          <cell r="L500">
            <v>0</v>
          </cell>
          <cell r="M500">
            <v>26065.282375000003</v>
          </cell>
        </row>
        <row r="508">
          <cell r="L508">
            <v>0</v>
          </cell>
          <cell r="M508">
            <v>2698.9860000000003</v>
          </cell>
        </row>
      </sheetData>
      <sheetData sheetId="2">
        <row r="24">
          <cell r="H24">
            <v>71300.411000000007</v>
          </cell>
        </row>
      </sheetData>
      <sheetData sheetId="3">
        <row r="37">
          <cell r="M37">
            <v>141085.03207499994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/>
      <sheetData sheetId="2">
        <row r="24">
          <cell r="J24">
            <v>520</v>
          </cell>
        </row>
      </sheetData>
      <sheetData sheetId="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/>
      <sheetData sheetId="2"/>
      <sheetData sheetId="3">
        <row r="37">
          <cell r="H37">
            <v>139790.68267499996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22">
          <cell r="H22">
            <v>32481.987300000001</v>
          </cell>
        </row>
        <row r="276">
          <cell r="H276">
            <v>64330.147349999992</v>
          </cell>
          <cell r="K276">
            <v>1403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  <sheetName val="PERSONAL AYUNTAMIENTO"/>
    </sheetNames>
    <sheetDataSet>
      <sheetData sheetId="0" refreshError="1"/>
      <sheetData sheetId="1" refreshError="1">
        <row r="15">
          <cell r="H15">
            <v>106552.62450000001</v>
          </cell>
        </row>
        <row r="22">
          <cell r="J22">
            <v>0</v>
          </cell>
        </row>
        <row r="194">
          <cell r="J194">
            <v>180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H15">
            <v>106552.62450000001</v>
          </cell>
        </row>
        <row r="59">
          <cell r="J59">
            <v>180</v>
          </cell>
        </row>
        <row r="73">
          <cell r="H73">
            <v>0</v>
          </cell>
          <cell r="I73">
            <v>0</v>
          </cell>
          <cell r="M73">
            <v>0</v>
          </cell>
        </row>
        <row r="502">
          <cell r="I502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66">
          <cell r="J66">
            <v>0</v>
          </cell>
          <cell r="K66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L15">
            <v>0</v>
          </cell>
        </row>
        <row r="74">
          <cell r="L74">
            <v>0</v>
          </cell>
        </row>
        <row r="90">
          <cell r="L9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87">
          <cell r="H87">
            <v>3.9999999999054126E-3</v>
          </cell>
          <cell r="I8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M409"/>
  <sheetViews>
    <sheetView tabSelected="1" zoomScale="70" zoomScaleNormal="70" zoomScaleSheetLayoutView="85" zoomScalePageLayoutView="70" workbookViewId="0">
      <selection activeCell="D27" sqref="D27:D28"/>
    </sheetView>
  </sheetViews>
  <sheetFormatPr baseColWidth="10" defaultColWidth="11.28515625" defaultRowHeight="12.75" customHeight="1"/>
  <cols>
    <col min="1" max="1" width="48.7109375" style="70" customWidth="1"/>
    <col min="2" max="2" width="27.42578125" style="333" hidden="1" customWidth="1"/>
    <col min="3" max="3" width="23" style="40" hidden="1" customWidth="1"/>
    <col min="4" max="4" width="27.7109375" style="56" customWidth="1"/>
    <col min="5" max="5" width="32" style="42" customWidth="1"/>
    <col min="6" max="6" width="23.7109375" style="42" customWidth="1"/>
    <col min="7" max="7" width="20" style="42" customWidth="1"/>
    <col min="8" max="8" width="23.5703125" style="42" customWidth="1"/>
    <col min="9" max="9" width="21.140625" style="42" customWidth="1"/>
    <col min="10" max="10" width="22.28515625" style="279" customWidth="1"/>
    <col min="11" max="11" width="19.42578125" style="42" customWidth="1"/>
    <col min="12" max="16384" width="11.28515625" style="1"/>
  </cols>
  <sheetData>
    <row r="1" spans="1:11" ht="15" customHeight="1">
      <c r="B1" s="33"/>
      <c r="C1" s="161"/>
      <c r="E1" s="28"/>
      <c r="G1" s="28"/>
      <c r="H1" s="56" t="s">
        <v>128</v>
      </c>
      <c r="I1" s="28"/>
      <c r="J1" s="28"/>
      <c r="K1" s="28"/>
    </row>
    <row r="2" spans="1:11" ht="15" customHeight="1">
      <c r="B2" s="33"/>
      <c r="C2" s="161"/>
      <c r="E2" s="28"/>
      <c r="G2" s="28"/>
      <c r="H2" s="56" t="s">
        <v>523</v>
      </c>
      <c r="I2" s="28"/>
      <c r="J2" s="28"/>
      <c r="K2" s="28"/>
    </row>
    <row r="3" spans="1:11" ht="15" customHeight="1">
      <c r="B3" s="33"/>
      <c r="C3" s="161"/>
      <c r="E3" s="28"/>
      <c r="G3" s="28"/>
      <c r="H3" s="56" t="s">
        <v>291</v>
      </c>
      <c r="I3" s="28"/>
      <c r="J3" s="28"/>
      <c r="K3" s="28"/>
    </row>
    <row r="4" spans="1:11" ht="15" customHeight="1">
      <c r="B4" s="33"/>
      <c r="C4" s="161"/>
      <c r="E4" s="28"/>
      <c r="G4" s="28"/>
      <c r="H4" s="56" t="s">
        <v>743</v>
      </c>
      <c r="I4" s="28"/>
      <c r="J4" s="28"/>
      <c r="K4" s="28"/>
    </row>
    <row r="5" spans="1:11" ht="15" customHeight="1">
      <c r="A5" s="26" t="s">
        <v>7</v>
      </c>
      <c r="B5" s="324"/>
      <c r="C5" s="109"/>
      <c r="D5" s="109"/>
      <c r="E5" s="29"/>
      <c r="F5" s="29"/>
      <c r="G5" s="29"/>
      <c r="H5" s="29" t="s">
        <v>441</v>
      </c>
      <c r="I5" s="29"/>
      <c r="J5" s="397"/>
      <c r="K5" s="29"/>
    </row>
    <row r="6" spans="1:11" s="7" customFormat="1" ht="39" customHeight="1">
      <c r="A6" s="27" t="s">
        <v>0</v>
      </c>
      <c r="B6" s="325" t="s">
        <v>8</v>
      </c>
      <c r="C6" s="30" t="s">
        <v>290</v>
      </c>
      <c r="D6" s="30" t="s">
        <v>322</v>
      </c>
      <c r="E6" s="30" t="s">
        <v>1</v>
      </c>
      <c r="F6" s="30" t="s">
        <v>2</v>
      </c>
      <c r="G6" s="30" t="s">
        <v>3</v>
      </c>
      <c r="H6" s="30" t="s">
        <v>4</v>
      </c>
      <c r="I6" s="30" t="s">
        <v>340</v>
      </c>
      <c r="J6" s="30" t="s">
        <v>352</v>
      </c>
      <c r="K6" s="30" t="s">
        <v>5</v>
      </c>
    </row>
    <row r="7" spans="1:11" ht="45" customHeight="1">
      <c r="A7" s="63" t="s">
        <v>475</v>
      </c>
      <c r="B7" s="23" t="s">
        <v>533</v>
      </c>
      <c r="C7" s="40" t="s">
        <v>319</v>
      </c>
      <c r="D7" s="23" t="s">
        <v>323</v>
      </c>
      <c r="E7" s="23" t="s">
        <v>139</v>
      </c>
      <c r="F7" s="171">
        <f>10947*1.03*1.05*1.05</f>
        <v>12431.139525000001</v>
      </c>
      <c r="G7" s="171">
        <f>441*1.03*1.05*1.05</f>
        <v>500.78857500000004</v>
      </c>
      <c r="H7" s="172"/>
      <c r="I7" s="172"/>
      <c r="J7" s="173"/>
      <c r="K7" s="172">
        <f>F7-G7+H7+I7+J7</f>
        <v>11930.35095</v>
      </c>
    </row>
    <row r="8" spans="1:11" ht="45" customHeight="1">
      <c r="A8" s="63" t="s">
        <v>476</v>
      </c>
      <c r="B8" s="24" t="s">
        <v>558</v>
      </c>
      <c r="C8" s="40" t="s">
        <v>319</v>
      </c>
      <c r="D8" s="23" t="s">
        <v>323</v>
      </c>
      <c r="E8" s="23" t="s">
        <v>139</v>
      </c>
      <c r="F8" s="171">
        <f t="shared" ref="F8:F15" si="0">10947*1.03*1.05*1.05</f>
        <v>12431.139525000001</v>
      </c>
      <c r="G8" s="171">
        <f t="shared" ref="G8:G15" si="1">441*1.03*1.05*1.05</f>
        <v>500.78857500000004</v>
      </c>
      <c r="H8" s="172"/>
      <c r="I8" s="172"/>
      <c r="J8" s="173"/>
      <c r="K8" s="172">
        <f>F8-G8+H8+I8+J8</f>
        <v>11930.35095</v>
      </c>
    </row>
    <row r="9" spans="1:11" ht="45" customHeight="1">
      <c r="A9" s="305" t="s">
        <v>499</v>
      </c>
      <c r="B9" s="24" t="s">
        <v>577</v>
      </c>
      <c r="C9" s="40" t="s">
        <v>319</v>
      </c>
      <c r="D9" s="23" t="s">
        <v>323</v>
      </c>
      <c r="E9" s="23" t="s">
        <v>727</v>
      </c>
      <c r="F9" s="171">
        <f t="shared" si="0"/>
        <v>12431.139525000001</v>
      </c>
      <c r="G9" s="171">
        <f t="shared" si="1"/>
        <v>500.78857500000004</v>
      </c>
      <c r="H9" s="172"/>
      <c r="I9" s="172"/>
      <c r="J9" s="173"/>
      <c r="K9" s="172">
        <f>F9-G9+H9+I9+J9</f>
        <v>11930.35095</v>
      </c>
    </row>
    <row r="10" spans="1:11" ht="45" customHeight="1">
      <c r="A10" s="63" t="s">
        <v>478</v>
      </c>
      <c r="B10" s="24" t="s">
        <v>559</v>
      </c>
      <c r="C10" s="40" t="s">
        <v>319</v>
      </c>
      <c r="D10" s="23" t="s">
        <v>323</v>
      </c>
      <c r="E10" s="24" t="s">
        <v>393</v>
      </c>
      <c r="F10" s="171">
        <f t="shared" si="0"/>
        <v>12431.139525000001</v>
      </c>
      <c r="G10" s="171">
        <f t="shared" si="1"/>
        <v>500.78857500000004</v>
      </c>
      <c r="H10" s="172"/>
      <c r="I10" s="172"/>
      <c r="J10" s="173"/>
      <c r="K10" s="172">
        <f>F10-G10+H10+I10+J10</f>
        <v>11930.35095</v>
      </c>
    </row>
    <row r="11" spans="1:11" ht="45" customHeight="1">
      <c r="A11" s="63" t="s">
        <v>692</v>
      </c>
      <c r="B11" s="170" t="s">
        <v>693</v>
      </c>
      <c r="C11" s="40" t="s">
        <v>321</v>
      </c>
      <c r="D11" s="23" t="s">
        <v>323</v>
      </c>
      <c r="E11" s="23" t="s">
        <v>139</v>
      </c>
      <c r="F11" s="171">
        <f t="shared" si="0"/>
        <v>12431.139525000001</v>
      </c>
      <c r="G11" s="171">
        <f t="shared" si="1"/>
        <v>500.78857500000004</v>
      </c>
      <c r="H11" s="172"/>
      <c r="I11" s="172"/>
      <c r="J11" s="173"/>
      <c r="K11" s="172">
        <f>F11-G11+H11+I11+J11</f>
        <v>11930.35095</v>
      </c>
    </row>
    <row r="12" spans="1:11" ht="45" customHeight="1">
      <c r="A12" s="63" t="s">
        <v>725</v>
      </c>
      <c r="B12" s="24" t="s">
        <v>726</v>
      </c>
      <c r="C12" s="40" t="s">
        <v>319</v>
      </c>
      <c r="D12" s="23" t="s">
        <v>323</v>
      </c>
      <c r="E12" s="23" t="s">
        <v>727</v>
      </c>
      <c r="F12" s="171">
        <f t="shared" si="0"/>
        <v>12431.139525000001</v>
      </c>
      <c r="G12" s="171">
        <f t="shared" si="1"/>
        <v>500.78857500000004</v>
      </c>
      <c r="H12" s="172"/>
      <c r="I12" s="172"/>
      <c r="J12" s="173"/>
      <c r="K12" s="172">
        <f t="shared" ref="K12" si="2">F12-G12+H12+I12+J12</f>
        <v>11930.35095</v>
      </c>
    </row>
    <row r="13" spans="1:11" ht="45" customHeight="1">
      <c r="A13" s="63" t="s">
        <v>479</v>
      </c>
      <c r="B13" s="24" t="s">
        <v>531</v>
      </c>
      <c r="C13" s="40" t="s">
        <v>319</v>
      </c>
      <c r="D13" s="23" t="s">
        <v>323</v>
      </c>
      <c r="E13" s="24" t="s">
        <v>393</v>
      </c>
      <c r="F13" s="171">
        <f t="shared" si="0"/>
        <v>12431.139525000001</v>
      </c>
      <c r="G13" s="171">
        <f t="shared" si="1"/>
        <v>500.78857500000004</v>
      </c>
      <c r="H13" s="172"/>
      <c r="I13" s="172"/>
      <c r="J13" s="173"/>
      <c r="K13" s="172">
        <f>F13-G13+H13+I13+J13</f>
        <v>11930.35095</v>
      </c>
    </row>
    <row r="14" spans="1:11" ht="45" customHeight="1">
      <c r="A14" s="63" t="s">
        <v>480</v>
      </c>
      <c r="B14" s="24" t="s">
        <v>531</v>
      </c>
      <c r="C14" s="40" t="s">
        <v>319</v>
      </c>
      <c r="D14" s="23" t="s">
        <v>323</v>
      </c>
      <c r="E14" s="23" t="s">
        <v>139</v>
      </c>
      <c r="F14" s="171">
        <f t="shared" si="0"/>
        <v>12431.139525000001</v>
      </c>
      <c r="G14" s="171">
        <f t="shared" si="1"/>
        <v>500.78857500000004</v>
      </c>
      <c r="H14" s="172"/>
      <c r="I14" s="172"/>
      <c r="J14" s="173"/>
      <c r="K14" s="172">
        <f>F14-G14+H14+I14+J14</f>
        <v>11930.35095</v>
      </c>
    </row>
    <row r="15" spans="1:11" ht="45" customHeight="1" thickBot="1">
      <c r="A15" s="63" t="s">
        <v>481</v>
      </c>
      <c r="B15" s="24"/>
      <c r="C15" s="40" t="s">
        <v>319</v>
      </c>
      <c r="D15" s="23" t="s">
        <v>323</v>
      </c>
      <c r="E15" s="23" t="s">
        <v>139</v>
      </c>
      <c r="F15" s="275">
        <f t="shared" si="0"/>
        <v>12431.139525000001</v>
      </c>
      <c r="G15" s="275">
        <f t="shared" si="1"/>
        <v>500.78857500000004</v>
      </c>
      <c r="H15" s="281"/>
      <c r="I15" s="281"/>
      <c r="J15" s="402"/>
      <c r="K15" s="275">
        <f>F15-G15+H15+I15+J15</f>
        <v>11930.35095</v>
      </c>
    </row>
    <row r="16" spans="1:11" ht="25.5" customHeight="1" thickTop="1" thickBot="1">
      <c r="A16" s="25"/>
      <c r="B16" s="23"/>
      <c r="D16" s="23"/>
      <c r="E16" s="56" t="s">
        <v>6</v>
      </c>
      <c r="F16" s="173">
        <f t="shared" ref="F16:J16" si="3">SUM(F7:F15)</f>
        <v>111880.25572500002</v>
      </c>
      <c r="G16" s="173">
        <f t="shared" si="3"/>
        <v>4507.0971750000008</v>
      </c>
      <c r="H16" s="173">
        <f t="shared" si="3"/>
        <v>0</v>
      </c>
      <c r="I16" s="173"/>
      <c r="J16" s="173">
        <f t="shared" si="3"/>
        <v>0</v>
      </c>
      <c r="K16" s="173">
        <f>SUM(K7:K15)</f>
        <v>107373.15854999999</v>
      </c>
    </row>
    <row r="17" spans="1:11" ht="25.5" customHeight="1" thickBot="1">
      <c r="A17" s="25"/>
      <c r="B17" s="23"/>
      <c r="D17" s="110"/>
      <c r="E17" s="174" t="s">
        <v>329</v>
      </c>
      <c r="F17" s="175">
        <f>F16-[1]MADRE!$H$15</f>
        <v>0</v>
      </c>
      <c r="G17" s="175">
        <f>G16-[1]MADRE!$I$15</f>
        <v>0</v>
      </c>
      <c r="H17" s="175">
        <f>H16-[2]MADRE!J$15</f>
        <v>0</v>
      </c>
      <c r="I17" s="175">
        <f>I16-[2]MADRE!K$15</f>
        <v>0</v>
      </c>
      <c r="J17" s="175">
        <f>J16-[3]MADRE!$L$15</f>
        <v>0</v>
      </c>
      <c r="K17" s="175">
        <f>K16-[3]MADRE!$M$15</f>
        <v>0</v>
      </c>
    </row>
    <row r="18" spans="1:11" ht="15" customHeight="1">
      <c r="A18" s="57" t="s">
        <v>292</v>
      </c>
      <c r="B18" s="326"/>
      <c r="C18" s="111"/>
      <c r="D18" s="111"/>
      <c r="E18" s="31"/>
      <c r="F18" s="31"/>
      <c r="G18" s="31"/>
      <c r="H18" s="31"/>
      <c r="I18" s="31"/>
      <c r="J18" s="31"/>
      <c r="K18" s="31"/>
    </row>
    <row r="19" spans="1:11" ht="45" customHeight="1" thickBot="1">
      <c r="A19" s="76" t="s">
        <v>477</v>
      </c>
      <c r="B19" s="35" t="s">
        <v>558</v>
      </c>
      <c r="C19" s="40" t="s">
        <v>319</v>
      </c>
      <c r="D19" s="32" t="s">
        <v>323</v>
      </c>
      <c r="E19" s="32" t="s">
        <v>733</v>
      </c>
      <c r="F19" s="421">
        <f>28604*1.03*1.05*1.05</f>
        <v>32481.987300000001</v>
      </c>
      <c r="G19" s="421">
        <f>1386*1.03*1.05*1.05</f>
        <v>1573.9069500000001</v>
      </c>
      <c r="H19" s="421"/>
      <c r="I19" s="421"/>
      <c r="J19" s="421"/>
      <c r="K19" s="421">
        <f>F19-G19+H19+I19+J19</f>
        <v>30908.08035</v>
      </c>
    </row>
    <row r="20" spans="1:11" ht="25.5" customHeight="1" thickTop="1" thickBot="1">
      <c r="B20" s="33"/>
      <c r="D20" s="23"/>
      <c r="E20" s="56" t="s">
        <v>6</v>
      </c>
      <c r="F20" s="181">
        <f t="shared" ref="F20:J20" si="4">SUM(F19)</f>
        <v>32481.987300000001</v>
      </c>
      <c r="G20" s="181">
        <f t="shared" si="4"/>
        <v>1573.9069500000001</v>
      </c>
      <c r="H20" s="181">
        <f t="shared" si="4"/>
        <v>0</v>
      </c>
      <c r="I20" s="181">
        <f t="shared" si="4"/>
        <v>0</v>
      </c>
      <c r="J20" s="181">
        <f t="shared" si="4"/>
        <v>0</v>
      </c>
      <c r="K20" s="181">
        <f>SUM(K19)</f>
        <v>30908.08035</v>
      </c>
    </row>
    <row r="21" spans="1:11" ht="25.5" customHeight="1">
      <c r="B21" s="33"/>
      <c r="D21" s="112"/>
      <c r="E21" s="177" t="s">
        <v>329</v>
      </c>
      <c r="F21" s="181">
        <f>F20-[4]MADRE!$H$22</f>
        <v>0</v>
      </c>
      <c r="G21" s="181">
        <f>G20-[1]MADRE!$I$22</f>
        <v>0</v>
      </c>
      <c r="H21" s="181">
        <f>H20-[5]MADRE!$J$22</f>
        <v>0</v>
      </c>
      <c r="I21" s="181">
        <f>I20-[2]MADRE!K$23</f>
        <v>0</v>
      </c>
      <c r="J21" s="181">
        <f>J20-[3]MADRE!$L$22</f>
        <v>0</v>
      </c>
      <c r="K21" s="181">
        <f>K20-[3]MADRE!$M$22</f>
        <v>0</v>
      </c>
    </row>
    <row r="22" spans="1:11" ht="15" customHeight="1">
      <c r="A22" s="71" t="s">
        <v>416</v>
      </c>
      <c r="B22" s="327"/>
      <c r="C22" s="406"/>
      <c r="D22" s="113"/>
      <c r="E22" s="34"/>
      <c r="F22" s="34"/>
      <c r="G22" s="34"/>
      <c r="H22" s="34"/>
      <c r="I22" s="34"/>
      <c r="J22" s="434"/>
      <c r="K22" s="34"/>
    </row>
    <row r="23" spans="1:11" ht="50.25" customHeight="1">
      <c r="A23" s="105" t="s">
        <v>510</v>
      </c>
      <c r="B23" s="32" t="s">
        <v>594</v>
      </c>
      <c r="C23" s="36" t="s">
        <v>321</v>
      </c>
      <c r="D23" s="32" t="s">
        <v>323</v>
      </c>
      <c r="E23" s="35" t="s">
        <v>418</v>
      </c>
      <c r="F23" s="176">
        <f>18997*1.03*1.05*1.05</f>
        <v>21572.518274999999</v>
      </c>
      <c r="G23" s="176">
        <f>997*1.03*1.05*1.05</f>
        <v>1132.1682750000002</v>
      </c>
      <c r="H23" s="176"/>
      <c r="I23" s="176"/>
      <c r="J23" s="176"/>
      <c r="K23" s="179">
        <f>F23-G23+J23</f>
        <v>20440.349999999999</v>
      </c>
    </row>
    <row r="24" spans="1:11" ht="56.25" customHeight="1" thickBot="1">
      <c r="A24" s="72" t="s">
        <v>131</v>
      </c>
      <c r="B24" s="23" t="s">
        <v>9</v>
      </c>
      <c r="C24" s="407" t="s">
        <v>319</v>
      </c>
      <c r="D24" s="36" t="s">
        <v>323</v>
      </c>
      <c r="E24" s="128" t="s">
        <v>129</v>
      </c>
      <c r="F24" s="171">
        <f>6406.96*1.05*1.05</f>
        <v>7063.6734000000006</v>
      </c>
      <c r="G24" s="171">
        <f>199*1.04*1.05*1.05</f>
        <v>228.17340000000004</v>
      </c>
      <c r="H24" s="171"/>
      <c r="I24" s="171"/>
      <c r="J24" s="173"/>
      <c r="K24" s="171">
        <f>F24-G24+J24</f>
        <v>6835.5000000000009</v>
      </c>
    </row>
    <row r="25" spans="1:11" ht="25.5" customHeight="1" thickTop="1" thickBot="1">
      <c r="A25" s="65"/>
      <c r="B25" s="33"/>
      <c r="C25" s="181"/>
      <c r="D25" s="23"/>
      <c r="E25" s="56" t="s">
        <v>6</v>
      </c>
      <c r="F25" s="180">
        <f t="shared" ref="F25:J25" si="5">SUM(F23:F24)</f>
        <v>28636.191674999998</v>
      </c>
      <c r="G25" s="180">
        <f t="shared" si="5"/>
        <v>1360.3416750000004</v>
      </c>
      <c r="H25" s="180">
        <f t="shared" si="5"/>
        <v>0</v>
      </c>
      <c r="I25" s="180">
        <f t="shared" si="5"/>
        <v>0</v>
      </c>
      <c r="J25" s="180">
        <f t="shared" si="5"/>
        <v>0</v>
      </c>
      <c r="K25" s="180">
        <f>SUM(K23:K24)</f>
        <v>27275.85</v>
      </c>
    </row>
    <row r="26" spans="1:11" ht="25.5" customHeight="1">
      <c r="A26" s="65"/>
      <c r="B26" s="33"/>
      <c r="C26" s="181"/>
      <c r="D26" s="112"/>
      <c r="E26" s="177" t="s">
        <v>329</v>
      </c>
      <c r="F26" s="178">
        <f>F25-[1]MADRE!$H$30</f>
        <v>0</v>
      </c>
      <c r="G26" s="178">
        <f>G25-[1]MADRE!$I$30</f>
        <v>0</v>
      </c>
      <c r="H26" s="178">
        <f>H25-[2]MADRE!J$31</f>
        <v>0</v>
      </c>
      <c r="I26" s="178">
        <f>I25-[2]MADRE!K$31</f>
        <v>0</v>
      </c>
      <c r="J26" s="178">
        <f>J25-[3]MADRE!$L$30</f>
        <v>0</v>
      </c>
      <c r="K26" s="178">
        <f>K25-[3]MADRE!$M$30</f>
        <v>0</v>
      </c>
    </row>
    <row r="27" spans="1:11" ht="15" customHeight="1">
      <c r="A27" s="71" t="s">
        <v>417</v>
      </c>
      <c r="B27" s="327"/>
      <c r="C27" s="406"/>
      <c r="D27" s="113"/>
      <c r="E27" s="34"/>
      <c r="F27" s="34"/>
      <c r="G27" s="34"/>
      <c r="H27" s="34"/>
      <c r="I27" s="34"/>
      <c r="J27" s="34"/>
      <c r="K27" s="34"/>
    </row>
    <row r="28" spans="1:11" ht="56.25" customHeight="1">
      <c r="A28" s="64" t="s">
        <v>496</v>
      </c>
      <c r="B28" s="32" t="s">
        <v>571</v>
      </c>
      <c r="C28" s="36" t="s">
        <v>321</v>
      </c>
      <c r="D28" s="32" t="s">
        <v>333</v>
      </c>
      <c r="E28" s="32" t="s">
        <v>740</v>
      </c>
      <c r="F28" s="176">
        <f>18997*1.03*1.05*1.05</f>
        <v>21572.518274999999</v>
      </c>
      <c r="G28" s="176">
        <f>997*1.03*1.05*1.05</f>
        <v>1132.1682750000002</v>
      </c>
      <c r="H28" s="176"/>
      <c r="I28" s="176"/>
      <c r="J28" s="176"/>
      <c r="K28" s="179">
        <f>F28-G28+J28</f>
        <v>20440.349999999999</v>
      </c>
    </row>
    <row r="29" spans="1:11" ht="56.25" customHeight="1">
      <c r="A29" s="63" t="s">
        <v>557</v>
      </c>
      <c r="B29" s="24" t="s">
        <v>560</v>
      </c>
      <c r="C29" s="40" t="s">
        <v>321</v>
      </c>
      <c r="D29" s="23" t="s">
        <v>323</v>
      </c>
      <c r="E29" s="24" t="s">
        <v>155</v>
      </c>
      <c r="F29" s="171">
        <f>10947*1.03*1.05</f>
        <v>11839.1805</v>
      </c>
      <c r="G29" s="171">
        <f>441*1.03*1.05*1.05</f>
        <v>500.78857500000004</v>
      </c>
      <c r="H29" s="181"/>
      <c r="I29" s="181"/>
      <c r="J29" s="173"/>
      <c r="K29" s="171">
        <f>F29-G29+J29</f>
        <v>11338.391925</v>
      </c>
    </row>
    <row r="30" spans="1:11" ht="51" customHeight="1" thickBot="1">
      <c r="A30" s="65" t="s">
        <v>431</v>
      </c>
      <c r="B30" s="23" t="s">
        <v>10</v>
      </c>
      <c r="C30" s="40" t="s">
        <v>319</v>
      </c>
      <c r="D30" s="40" t="s">
        <v>323</v>
      </c>
      <c r="E30" s="128" t="s">
        <v>351</v>
      </c>
      <c r="F30" s="273">
        <f>6474*1.04*1.05*1.05</f>
        <v>7423.0884000000005</v>
      </c>
      <c r="G30" s="272">
        <f>199*1.04*1.05*1.05</f>
        <v>228.17340000000004</v>
      </c>
      <c r="H30" s="272"/>
      <c r="I30" s="272"/>
      <c r="J30" s="173"/>
      <c r="K30" s="275">
        <f>F30-G30+H30+I30+J30</f>
        <v>7194.9150000000009</v>
      </c>
    </row>
    <row r="31" spans="1:11" ht="25.5" customHeight="1" thickTop="1" thickBot="1">
      <c r="A31" s="65"/>
      <c r="B31" s="33"/>
      <c r="C31" s="181"/>
      <c r="D31" s="23"/>
      <c r="E31" s="56" t="s">
        <v>6</v>
      </c>
      <c r="F31" s="180">
        <f>SUM(F28:F30)</f>
        <v>40834.787174999998</v>
      </c>
      <c r="G31" s="180">
        <f>SUM(G28:G30)</f>
        <v>1861.1302500000004</v>
      </c>
      <c r="H31" s="180">
        <f t="shared" ref="H31:J31" si="6">SUM(H28:H29)</f>
        <v>0</v>
      </c>
      <c r="I31" s="180">
        <f t="shared" si="6"/>
        <v>0</v>
      </c>
      <c r="J31" s="180">
        <f t="shared" si="6"/>
        <v>0</v>
      </c>
      <c r="K31" s="180">
        <f>SUM(K28:K30)</f>
        <v>38973.656925000003</v>
      </c>
    </row>
    <row r="32" spans="1:11" ht="25.5" customHeight="1">
      <c r="A32" s="65"/>
      <c r="B32" s="33"/>
      <c r="C32" s="181"/>
      <c r="D32" s="112"/>
      <c r="E32" s="177" t="s">
        <v>329</v>
      </c>
      <c r="F32" s="178">
        <f>F31-[1]MADRE!$H$39</f>
        <v>0</v>
      </c>
      <c r="G32" s="178">
        <f>G31-[1]MADRE!$I$39</f>
        <v>0</v>
      </c>
      <c r="H32" s="178">
        <f>H31-[2]MADRE!J$41</f>
        <v>0</v>
      </c>
      <c r="I32" s="178">
        <f>I31-[2]MADRE!K$41</f>
        <v>0</v>
      </c>
      <c r="J32" s="178">
        <f>J31-[3]MADRE!$L$39</f>
        <v>0</v>
      </c>
      <c r="K32" s="178">
        <f>K31-[3]MADRE!$M$39</f>
        <v>0</v>
      </c>
    </row>
    <row r="33" spans="1:11" ht="15" customHeight="1">
      <c r="A33" s="26" t="s">
        <v>293</v>
      </c>
      <c r="B33" s="324"/>
      <c r="C33" s="109"/>
      <c r="D33" s="114"/>
      <c r="E33" s="182"/>
      <c r="F33" s="29"/>
      <c r="G33" s="29"/>
      <c r="H33" s="29"/>
      <c r="I33" s="29"/>
      <c r="J33" s="29"/>
      <c r="K33" s="29"/>
    </row>
    <row r="34" spans="1:11" ht="51" customHeight="1">
      <c r="A34" s="66" t="s">
        <v>482</v>
      </c>
      <c r="B34" s="35" t="s">
        <v>561</v>
      </c>
      <c r="C34" s="40" t="s">
        <v>319</v>
      </c>
      <c r="D34" s="115" t="s">
        <v>323</v>
      </c>
      <c r="E34" s="115" t="s">
        <v>483</v>
      </c>
      <c r="F34" s="176">
        <f>18997*1.03*1.05*1.05</f>
        <v>21572.518274999999</v>
      </c>
      <c r="G34" s="176">
        <f>997*1.03*1.05*1.05</f>
        <v>1132.1682750000002</v>
      </c>
      <c r="H34" s="176"/>
      <c r="I34" s="176"/>
      <c r="J34" s="176"/>
      <c r="K34" s="176">
        <f>F34-G34+J34</f>
        <v>20440.349999999999</v>
      </c>
    </row>
    <row r="35" spans="1:11" ht="51" customHeight="1">
      <c r="A35" s="65" t="s">
        <v>415</v>
      </c>
      <c r="B35" s="24" t="s">
        <v>388</v>
      </c>
      <c r="C35" s="40" t="s">
        <v>319</v>
      </c>
      <c r="D35" s="116" t="s">
        <v>323</v>
      </c>
      <c r="E35" s="39" t="s">
        <v>407</v>
      </c>
      <c r="F35" s="171">
        <f>6928*1.04*1.05*1.05</f>
        <v>7943.6448000000009</v>
      </c>
      <c r="G35" s="171">
        <f>220*1.04*1.05*1.05</f>
        <v>252.25200000000001</v>
      </c>
      <c r="H35" s="171"/>
      <c r="J35" s="173"/>
      <c r="K35" s="172">
        <f>F35-G35+H35+I35+J35</f>
        <v>7691.3928000000005</v>
      </c>
    </row>
    <row r="36" spans="1:11" ht="51" customHeight="1">
      <c r="A36" s="65" t="s">
        <v>137</v>
      </c>
      <c r="B36" s="23" t="s">
        <v>121</v>
      </c>
      <c r="C36" s="407" t="s">
        <v>319</v>
      </c>
      <c r="D36" s="117" t="s">
        <v>323</v>
      </c>
      <c r="E36" s="119" t="s">
        <v>408</v>
      </c>
      <c r="F36" s="183">
        <f>5241*1.04*1.05*1.05</f>
        <v>6009.3306000000011</v>
      </c>
      <c r="G36" s="172"/>
      <c r="H36" s="172">
        <v>90</v>
      </c>
      <c r="I36" s="172"/>
      <c r="J36" s="173"/>
      <c r="K36" s="172">
        <f>F36-G36+H36+I36+J36</f>
        <v>6099.3306000000011</v>
      </c>
    </row>
    <row r="37" spans="1:11" ht="51" customHeight="1">
      <c r="A37" s="73" t="s">
        <v>144</v>
      </c>
      <c r="B37" s="36" t="s">
        <v>73</v>
      </c>
      <c r="C37" s="408" t="s">
        <v>319</v>
      </c>
      <c r="D37" s="118" t="s">
        <v>323</v>
      </c>
      <c r="E37" s="119" t="s">
        <v>409</v>
      </c>
      <c r="F37" s="183">
        <f>6928*1.04*1.05*1.05</f>
        <v>7943.6448000000009</v>
      </c>
      <c r="G37" s="185">
        <f>220*1.04*1.05*1.05</f>
        <v>252.25200000000001</v>
      </c>
      <c r="H37" s="186"/>
      <c r="I37" s="186"/>
      <c r="J37" s="173"/>
      <c r="K37" s="172">
        <f>F37-G37+H37+I37+J37</f>
        <v>7691.3928000000005</v>
      </c>
    </row>
    <row r="38" spans="1:11" ht="51" customHeight="1">
      <c r="A38" s="73" t="s">
        <v>134</v>
      </c>
      <c r="B38" s="37" t="s">
        <v>118</v>
      </c>
      <c r="C38" s="408" t="s">
        <v>319</v>
      </c>
      <c r="D38" s="120" t="s">
        <v>323</v>
      </c>
      <c r="E38" s="48" t="s">
        <v>410</v>
      </c>
      <c r="F38" s="187">
        <f>5964*1.04*1.05*1.05</f>
        <v>6838.3224000000009</v>
      </c>
      <c r="G38" s="314">
        <f>157*1.04*1.05*1.05</f>
        <v>180.01620000000003</v>
      </c>
      <c r="H38" s="186"/>
      <c r="I38" s="314"/>
      <c r="J38" s="173"/>
      <c r="K38" s="172">
        <f>F38-G38+H38+I38+J38</f>
        <v>6658.3062000000009</v>
      </c>
    </row>
    <row r="39" spans="1:11" ht="51" customHeight="1" thickBot="1">
      <c r="A39" s="65" t="s">
        <v>136</v>
      </c>
      <c r="B39" s="38" t="s">
        <v>22</v>
      </c>
      <c r="C39" s="409" t="s">
        <v>319</v>
      </c>
      <c r="D39" s="40" t="s">
        <v>323</v>
      </c>
      <c r="E39" s="151" t="s">
        <v>141</v>
      </c>
      <c r="F39" s="201">
        <f>6215*1.04*1.05*1.05</f>
        <v>7126.1190000000006</v>
      </c>
      <c r="G39" s="273"/>
      <c r="H39" s="201">
        <v>90</v>
      </c>
      <c r="I39" s="273"/>
      <c r="J39" s="402"/>
      <c r="K39" s="272">
        <f>F39-G39+H39+I39+J39</f>
        <v>7216.1190000000006</v>
      </c>
    </row>
    <row r="40" spans="1:11" ht="25.5" customHeight="1" thickTop="1" thickBot="1">
      <c r="B40" s="328"/>
      <c r="D40" s="23"/>
      <c r="E40" s="56" t="s">
        <v>6</v>
      </c>
      <c r="F40" s="190">
        <f t="shared" ref="F40:J40" si="7">SUM(F34:F39)</f>
        <v>57433.579875000003</v>
      </c>
      <c r="G40" s="190">
        <f t="shared" si="7"/>
        <v>1816.6884750000002</v>
      </c>
      <c r="H40" s="190">
        <f t="shared" si="7"/>
        <v>180</v>
      </c>
      <c r="I40" s="190">
        <f t="shared" si="7"/>
        <v>0</v>
      </c>
      <c r="J40" s="190">
        <f t="shared" si="7"/>
        <v>0</v>
      </c>
      <c r="K40" s="190">
        <f>SUM(K34:K39)</f>
        <v>55796.8914</v>
      </c>
    </row>
    <row r="41" spans="1:11" ht="25.5" customHeight="1" thickBot="1">
      <c r="B41" s="329"/>
      <c r="D41" s="110"/>
      <c r="E41" s="174" t="s">
        <v>329</v>
      </c>
      <c r="F41" s="175">
        <f>F40-[1]MADRE!$H$57</f>
        <v>0</v>
      </c>
      <c r="G41" s="175">
        <f>G40-[1]MADRE!$I$57</f>
        <v>0</v>
      </c>
      <c r="H41" s="175">
        <f>H40-[6]MADRE!$J$59</f>
        <v>0</v>
      </c>
      <c r="I41" s="175">
        <f>I40-[2]MADRE!K$60</f>
        <v>0</v>
      </c>
      <c r="J41" s="175">
        <f>J40-[3]MADRE!$L$57</f>
        <v>0</v>
      </c>
      <c r="K41" s="175">
        <f>K40-[3]MADRE!$M$57</f>
        <v>0</v>
      </c>
    </row>
    <row r="42" spans="1:11" ht="15" customHeight="1">
      <c r="A42" s="26" t="s">
        <v>549</v>
      </c>
      <c r="B42" s="324"/>
      <c r="C42" s="109"/>
      <c r="D42" s="109"/>
      <c r="E42" s="29"/>
      <c r="F42" s="29"/>
      <c r="G42" s="29"/>
      <c r="H42" s="29"/>
      <c r="I42" s="29"/>
      <c r="J42" s="29"/>
      <c r="K42" s="29"/>
    </row>
    <row r="43" spans="1:11" ht="51" customHeight="1" thickBot="1">
      <c r="A43" s="64" t="s">
        <v>664</v>
      </c>
      <c r="B43" s="35" t="s">
        <v>665</v>
      </c>
      <c r="C43" s="408" t="s">
        <v>319</v>
      </c>
      <c r="D43" s="121" t="s">
        <v>323</v>
      </c>
      <c r="E43" s="121" t="s">
        <v>645</v>
      </c>
      <c r="F43" s="307">
        <f>14359.23*1.05</f>
        <v>15077.191500000001</v>
      </c>
      <c r="G43" s="307">
        <f>454.23*1.05</f>
        <v>476.94150000000002</v>
      </c>
      <c r="H43" s="308"/>
      <c r="I43" s="307"/>
      <c r="J43" s="307"/>
      <c r="K43" s="307">
        <f>F43-G43+J43</f>
        <v>14600.25</v>
      </c>
    </row>
    <row r="44" spans="1:11" ht="24" customHeight="1" thickTop="1" thickBot="1">
      <c r="A44" s="65"/>
      <c r="B44" s="40"/>
      <c r="D44" s="56" t="s">
        <v>6</v>
      </c>
      <c r="E44" s="190">
        <f>SUM(E38:E43)</f>
        <v>0</v>
      </c>
      <c r="F44" s="190">
        <f t="shared" ref="F44:J44" si="8">SUM(F43)</f>
        <v>15077.191500000001</v>
      </c>
      <c r="G44" s="190">
        <f t="shared" si="8"/>
        <v>476.94150000000002</v>
      </c>
      <c r="H44" s="190">
        <f t="shared" si="8"/>
        <v>0</v>
      </c>
      <c r="I44" s="190">
        <f t="shared" si="8"/>
        <v>0</v>
      </c>
      <c r="J44" s="190">
        <f t="shared" si="8"/>
        <v>0</v>
      </c>
      <c r="K44" s="190">
        <f>SUM(K43)</f>
        <v>14600.25</v>
      </c>
    </row>
    <row r="45" spans="1:11" ht="28.5" customHeight="1" thickBot="1">
      <c r="A45" s="65"/>
      <c r="B45" s="40"/>
      <c r="D45" s="40"/>
      <c r="E45" s="174" t="s">
        <v>329</v>
      </c>
      <c r="F45" s="175">
        <f>F44-[1]MADRE!$H$64</f>
        <v>0</v>
      </c>
      <c r="G45" s="175">
        <f>G44-[1]MADRE!$I$64</f>
        <v>0</v>
      </c>
      <c r="H45" s="175">
        <f>H44-[7]MADRE!$J$66</f>
        <v>0</v>
      </c>
      <c r="I45" s="175">
        <f>I44-[7]MADRE!$K$66</f>
        <v>0</v>
      </c>
      <c r="J45" s="175">
        <f>J44-[3]MADRE!$L$64</f>
        <v>0</v>
      </c>
      <c r="K45" s="175">
        <f>K44-[3]MADRE!$M$64</f>
        <v>0</v>
      </c>
    </row>
    <row r="46" spans="1:11" ht="15" customHeight="1">
      <c r="A46" s="26" t="s">
        <v>550</v>
      </c>
      <c r="B46" s="324"/>
      <c r="C46" s="109"/>
      <c r="D46" s="109"/>
      <c r="E46" s="29"/>
      <c r="F46" s="29"/>
      <c r="G46" s="29"/>
      <c r="H46" s="29"/>
      <c r="I46" s="29"/>
      <c r="J46" s="397"/>
      <c r="K46" s="29"/>
    </row>
    <row r="47" spans="1:11" ht="51" customHeight="1">
      <c r="A47" s="65"/>
      <c r="B47" s="24"/>
      <c r="C47" s="40" t="s">
        <v>319</v>
      </c>
      <c r="D47" s="40" t="s">
        <v>323</v>
      </c>
      <c r="E47" s="49" t="s">
        <v>546</v>
      </c>
      <c r="F47" s="171"/>
      <c r="G47" s="171"/>
      <c r="H47" s="171"/>
      <c r="I47" s="171"/>
      <c r="J47" s="181"/>
      <c r="K47" s="171"/>
    </row>
    <row r="48" spans="1:11" ht="51" customHeight="1" thickBot="1">
      <c r="A48" s="65"/>
      <c r="B48" s="23"/>
      <c r="C48" s="40" t="s">
        <v>319</v>
      </c>
      <c r="D48" s="40" t="s">
        <v>323</v>
      </c>
      <c r="E48" s="128" t="s">
        <v>545</v>
      </c>
      <c r="F48" s="273"/>
      <c r="G48" s="272"/>
      <c r="H48" s="272"/>
      <c r="I48" s="272"/>
      <c r="J48" s="295"/>
      <c r="K48" s="275"/>
    </row>
    <row r="49" spans="1:11" ht="25.5" customHeight="1" thickTop="1" thickBot="1">
      <c r="A49" s="65"/>
      <c r="B49" s="33"/>
      <c r="D49" s="45"/>
      <c r="E49" s="45" t="s">
        <v>6</v>
      </c>
      <c r="F49" s="195">
        <f t="shared" ref="F49:K49" si="9">SUM(F47:F48)</f>
        <v>0</v>
      </c>
      <c r="G49" s="195">
        <f t="shared" si="9"/>
        <v>0</v>
      </c>
      <c r="H49" s="195">
        <f t="shared" si="9"/>
        <v>0</v>
      </c>
      <c r="I49" s="195">
        <f t="shared" si="9"/>
        <v>0</v>
      </c>
      <c r="J49" s="195">
        <f t="shared" si="9"/>
        <v>0</v>
      </c>
      <c r="K49" s="195">
        <f t="shared" si="9"/>
        <v>0</v>
      </c>
    </row>
    <row r="50" spans="1:11" ht="25.5" customHeight="1" thickBot="1">
      <c r="A50" s="65"/>
      <c r="B50" s="33"/>
      <c r="D50" s="122"/>
      <c r="E50" s="196" t="s">
        <v>329</v>
      </c>
      <c r="F50" s="197">
        <f>F49-[6]MADRE!$H$73</f>
        <v>0</v>
      </c>
      <c r="G50" s="197">
        <f>G49-[6]MADRE!$I$73</f>
        <v>0</v>
      </c>
      <c r="H50" s="197">
        <f>H49-[2]MADRE!J$67</f>
        <v>0</v>
      </c>
      <c r="I50" s="197">
        <f>I49-[2]MADRE!K$67</f>
        <v>0</v>
      </c>
      <c r="J50" s="197">
        <f>J49-[8]MADRE!$L$74</f>
        <v>0</v>
      </c>
      <c r="K50" s="197">
        <f>K49-[6]MADRE!$M$73</f>
        <v>0</v>
      </c>
    </row>
    <row r="51" spans="1:11" ht="15" customHeight="1">
      <c r="A51" s="26" t="s">
        <v>484</v>
      </c>
      <c r="B51" s="324"/>
      <c r="C51" s="109"/>
      <c r="D51" s="109"/>
      <c r="E51" s="29"/>
      <c r="F51" s="29"/>
      <c r="G51" s="29"/>
      <c r="H51" s="29"/>
      <c r="I51" s="29"/>
      <c r="J51" s="29"/>
      <c r="K51" s="29"/>
    </row>
    <row r="52" spans="1:11" ht="60.75" customHeight="1">
      <c r="A52" s="67" t="s">
        <v>485</v>
      </c>
      <c r="B52" s="35" t="s">
        <v>562</v>
      </c>
      <c r="C52" s="51" t="s">
        <v>319</v>
      </c>
      <c r="D52" s="444" t="s">
        <v>323</v>
      </c>
      <c r="E52" s="123" t="s">
        <v>487</v>
      </c>
      <c r="F52" s="192">
        <v>0</v>
      </c>
      <c r="G52" s="192">
        <v>0</v>
      </c>
      <c r="H52" s="193"/>
      <c r="I52" s="194"/>
      <c r="J52" s="404">
        <f>F52/15*10*0.25</f>
        <v>0</v>
      </c>
      <c r="K52" s="191">
        <f>F52-G52+H52+I52+J52</f>
        <v>0</v>
      </c>
    </row>
    <row r="53" spans="1:11" ht="60.75" customHeight="1" thickBot="1">
      <c r="A53" s="63" t="s">
        <v>486</v>
      </c>
      <c r="B53" s="39" t="s">
        <v>563</v>
      </c>
      <c r="C53" s="40" t="s">
        <v>319</v>
      </c>
      <c r="D53" s="124" t="s">
        <v>469</v>
      </c>
      <c r="E53" s="125" t="s">
        <v>140</v>
      </c>
      <c r="F53" s="202">
        <f>3855*1.04*1.05*1.05</f>
        <v>4420.1430000000009</v>
      </c>
      <c r="G53" s="202"/>
      <c r="H53" s="202">
        <v>90</v>
      </c>
      <c r="I53" s="202"/>
      <c r="J53" s="398"/>
      <c r="K53" s="234">
        <f>F53+H53+J53</f>
        <v>4510.1430000000009</v>
      </c>
    </row>
    <row r="54" spans="1:11" ht="25.5" customHeight="1" thickTop="1" thickBot="1">
      <c r="A54" s="74"/>
      <c r="B54" s="23"/>
      <c r="C54" s="181"/>
      <c r="D54" s="126"/>
      <c r="E54" s="56" t="s">
        <v>6</v>
      </c>
      <c r="F54" s="181">
        <f t="shared" ref="F54:K54" si="10">SUM(F53:F53)</f>
        <v>4420.1430000000009</v>
      </c>
      <c r="G54" s="181">
        <f t="shared" si="10"/>
        <v>0</v>
      </c>
      <c r="H54" s="181">
        <f t="shared" si="10"/>
        <v>90</v>
      </c>
      <c r="I54" s="181">
        <f t="shared" si="10"/>
        <v>0</v>
      </c>
      <c r="J54" s="181">
        <f t="shared" si="10"/>
        <v>0</v>
      </c>
      <c r="K54" s="181">
        <f t="shared" si="10"/>
        <v>4510.1430000000009</v>
      </c>
    </row>
    <row r="55" spans="1:11" ht="25.5" customHeight="1" thickBot="1">
      <c r="A55" s="74"/>
      <c r="B55" s="23"/>
      <c r="C55" s="181"/>
      <c r="D55" s="110"/>
      <c r="E55" s="174" t="s">
        <v>329</v>
      </c>
      <c r="F55" s="190">
        <f>F54-[3]MADRE!$H$79</f>
        <v>0</v>
      </c>
      <c r="G55" s="190">
        <f>G54-[3]MADRE!$I$79</f>
        <v>0</v>
      </c>
      <c r="H55" s="190">
        <f>H54-[2]MADRE!J$75</f>
        <v>0</v>
      </c>
      <c r="I55" s="190">
        <f>I54-[2]MADRE!K$75</f>
        <v>0</v>
      </c>
      <c r="J55" s="190">
        <f>J54-[3]MADRE!$L$79</f>
        <v>0</v>
      </c>
      <c r="K55" s="190">
        <f>K54-[3]MADRE!$M$79</f>
        <v>0</v>
      </c>
    </row>
    <row r="56" spans="1:11" ht="15" customHeight="1">
      <c r="A56" s="26" t="s">
        <v>488</v>
      </c>
      <c r="B56" s="324"/>
      <c r="C56" s="109"/>
      <c r="D56" s="109"/>
      <c r="E56" s="29"/>
      <c r="F56" s="29"/>
      <c r="G56" s="29"/>
      <c r="H56" s="29"/>
      <c r="I56" s="29"/>
      <c r="J56" s="29"/>
      <c r="K56" s="29"/>
    </row>
    <row r="57" spans="1:11" ht="51" customHeight="1">
      <c r="A57" s="65"/>
      <c r="B57" s="23"/>
      <c r="C57" s="409"/>
      <c r="D57" s="124"/>
      <c r="E57" s="153"/>
      <c r="F57" s="171">
        <f>7005.6*1.04-485.72-6800.1</f>
        <v>3.9999999999054126E-3</v>
      </c>
      <c r="G57" s="171">
        <f>157.5*1.04-163.8</f>
        <v>0</v>
      </c>
      <c r="H57" s="171"/>
      <c r="I57" s="171"/>
      <c r="J57" s="181"/>
      <c r="K57" s="171">
        <f>F57-G57+H57+I57+J57</f>
        <v>3.9999999999054126E-3</v>
      </c>
    </row>
    <row r="58" spans="1:11" ht="25.5" customHeight="1" thickBot="1">
      <c r="A58" s="74"/>
      <c r="B58" s="23"/>
      <c r="C58" s="181"/>
      <c r="D58" s="126"/>
      <c r="E58" s="56" t="s">
        <v>6</v>
      </c>
      <c r="F58" s="181">
        <f t="shared" ref="F58:K58" si="11">SUM(F57:F57)</f>
        <v>3.9999999999054126E-3</v>
      </c>
      <c r="G58" s="181">
        <f t="shared" si="11"/>
        <v>0</v>
      </c>
      <c r="H58" s="181">
        <f t="shared" si="11"/>
        <v>0</v>
      </c>
      <c r="I58" s="181">
        <f t="shared" si="11"/>
        <v>0</v>
      </c>
      <c r="J58" s="181">
        <f t="shared" si="11"/>
        <v>0</v>
      </c>
      <c r="K58" s="181">
        <f t="shared" si="11"/>
        <v>3.9999999999054126E-3</v>
      </c>
    </row>
    <row r="59" spans="1:11" ht="25.5" customHeight="1" thickBot="1">
      <c r="A59" s="74"/>
      <c r="B59" s="23"/>
      <c r="C59" s="181"/>
      <c r="D59" s="110"/>
      <c r="E59" s="174" t="s">
        <v>329</v>
      </c>
      <c r="F59" s="190">
        <f>F58-[9]MADRE!$H$87</f>
        <v>0</v>
      </c>
      <c r="G59" s="190">
        <f>G58-[9]MADRE!$I$87</f>
        <v>0</v>
      </c>
      <c r="H59" s="190">
        <f>H58-[10]MADRE!$J$89</f>
        <v>0</v>
      </c>
      <c r="I59" s="190">
        <f>I58-[2]MADRE!K$75</f>
        <v>0</v>
      </c>
      <c r="J59" s="190">
        <f>J58-[8]MADRE!$L$90</f>
        <v>0</v>
      </c>
      <c r="K59" s="190">
        <v>0</v>
      </c>
    </row>
    <row r="60" spans="1:11" ht="15" customHeight="1">
      <c r="A60" s="26" t="s">
        <v>350</v>
      </c>
      <c r="B60" s="324"/>
      <c r="C60" s="109"/>
      <c r="D60" s="109"/>
      <c r="E60" s="29"/>
      <c r="F60" s="29"/>
      <c r="G60" s="29"/>
      <c r="H60" s="29"/>
      <c r="I60" s="198"/>
      <c r="J60" s="198"/>
      <c r="K60" s="198"/>
    </row>
    <row r="61" spans="1:11" ht="51" customHeight="1" thickBot="1">
      <c r="A61" s="64" t="s">
        <v>734</v>
      </c>
      <c r="B61" s="287" t="s">
        <v>735</v>
      </c>
      <c r="C61" s="40" t="s">
        <v>321</v>
      </c>
      <c r="D61" s="46" t="s">
        <v>323</v>
      </c>
      <c r="E61" s="35" t="s">
        <v>736</v>
      </c>
      <c r="F61" s="179">
        <f>F65</f>
        <v>11509.570800000001</v>
      </c>
      <c r="G61" s="179">
        <v>505.65</v>
      </c>
      <c r="H61" s="179"/>
      <c r="I61" s="179"/>
      <c r="J61" s="179"/>
      <c r="K61" s="179">
        <f>F61-G61+J61</f>
        <v>11003.920800000002</v>
      </c>
    </row>
    <row r="62" spans="1:11" ht="25.5" customHeight="1" thickTop="1" thickBot="1">
      <c r="A62" s="74"/>
      <c r="B62" s="23"/>
      <c r="C62" s="181"/>
      <c r="D62" s="23"/>
      <c r="E62" s="56" t="s">
        <v>6</v>
      </c>
      <c r="F62" s="180">
        <f t="shared" ref="F62:J62" si="12">SUM(F61:F61)</f>
        <v>11509.570800000001</v>
      </c>
      <c r="G62" s="180">
        <f t="shared" si="12"/>
        <v>505.65</v>
      </c>
      <c r="H62" s="180">
        <f t="shared" si="12"/>
        <v>0</v>
      </c>
      <c r="I62" s="180">
        <f t="shared" si="12"/>
        <v>0</v>
      </c>
      <c r="J62" s="180">
        <f t="shared" si="12"/>
        <v>0</v>
      </c>
      <c r="K62" s="180">
        <f>SUM(K61:K61)</f>
        <v>11003.920800000002</v>
      </c>
    </row>
    <row r="63" spans="1:11" ht="25.5" customHeight="1" thickBot="1">
      <c r="A63" s="74"/>
      <c r="B63" s="23"/>
      <c r="C63" s="181"/>
      <c r="D63" s="110"/>
      <c r="E63" s="174" t="s">
        <v>329</v>
      </c>
      <c r="F63" s="178">
        <f>F62-[3]MADRE!$H$86</f>
        <v>0</v>
      </c>
      <c r="G63" s="178">
        <f>G62-[3]MADRE!$I$86</f>
        <v>0</v>
      </c>
      <c r="H63" s="178">
        <f>H62-[11]MADRE!$J$97</f>
        <v>0</v>
      </c>
      <c r="I63" s="178">
        <f>I62-[2]MADRE!K$90</f>
        <v>0</v>
      </c>
      <c r="J63" s="178">
        <f>J62-[3]MADRE!$L$86</f>
        <v>0</v>
      </c>
      <c r="K63" s="178">
        <f>K62-[3]MADRE!$M$86</f>
        <v>0</v>
      </c>
    </row>
    <row r="64" spans="1:11" ht="15" customHeight="1">
      <c r="A64" s="26" t="s">
        <v>294</v>
      </c>
      <c r="B64" s="324"/>
      <c r="C64" s="109"/>
      <c r="D64" s="109"/>
      <c r="E64" s="29"/>
      <c r="F64" s="69"/>
      <c r="G64" s="34"/>
      <c r="H64" s="34"/>
      <c r="I64" s="34"/>
      <c r="J64" s="34"/>
      <c r="K64" s="34"/>
    </row>
    <row r="65" spans="1:11" ht="51" customHeight="1">
      <c r="A65" s="64" t="s">
        <v>491</v>
      </c>
      <c r="B65" s="35" t="s">
        <v>564</v>
      </c>
      <c r="C65" s="409" t="s">
        <v>319</v>
      </c>
      <c r="D65" s="121" t="s">
        <v>323</v>
      </c>
      <c r="E65" s="127" t="s">
        <v>634</v>
      </c>
      <c r="F65" s="179">
        <f>10038*1.04*1.05*1.05</f>
        <v>11509.570800000001</v>
      </c>
      <c r="G65" s="179">
        <f>441*1.04*1.05*1.05</f>
        <v>505.65060000000011</v>
      </c>
      <c r="H65" s="176"/>
      <c r="I65" s="176"/>
      <c r="J65" s="176"/>
      <c r="K65" s="176">
        <f>F65-G65+H65+I65+J65</f>
        <v>11003.9202</v>
      </c>
    </row>
    <row r="66" spans="1:11" ht="51" customHeight="1">
      <c r="A66" s="65" t="s">
        <v>490</v>
      </c>
      <c r="B66" s="23" t="s">
        <v>19</v>
      </c>
      <c r="C66" s="40" t="s">
        <v>489</v>
      </c>
      <c r="D66" s="36" t="s">
        <v>469</v>
      </c>
      <c r="E66" s="128" t="s">
        <v>492</v>
      </c>
      <c r="F66" s="172">
        <f>6405*1.04*1.05*1.05</f>
        <v>7343.9730000000009</v>
      </c>
      <c r="G66" s="172">
        <f>175*1.04*1.05*1.05</f>
        <v>200.655</v>
      </c>
      <c r="H66" s="172"/>
      <c r="I66" s="172"/>
      <c r="J66" s="173"/>
      <c r="K66" s="172">
        <f>F66-G66+H66+I66+J66</f>
        <v>7143.3180000000011</v>
      </c>
    </row>
    <row r="67" spans="1:11" ht="51" customHeight="1">
      <c r="A67" s="73" t="s">
        <v>165</v>
      </c>
      <c r="B67" s="36" t="s">
        <v>83</v>
      </c>
      <c r="C67" s="408" t="s">
        <v>319</v>
      </c>
      <c r="D67" s="36" t="s">
        <v>323</v>
      </c>
      <c r="E67" s="53" t="s">
        <v>129</v>
      </c>
      <c r="F67" s="183">
        <f>4740*1.04*1.05*1.05</f>
        <v>5434.8840000000009</v>
      </c>
      <c r="G67" s="185"/>
      <c r="H67" s="185">
        <v>90</v>
      </c>
      <c r="I67" s="186"/>
      <c r="J67" s="173"/>
      <c r="K67" s="172">
        <f t="shared" ref="K67:K71" si="13">F67-G67+H67+I67+J67</f>
        <v>5524.8840000000009</v>
      </c>
    </row>
    <row r="68" spans="1:11" ht="51" customHeight="1">
      <c r="A68" s="65" t="s">
        <v>425</v>
      </c>
      <c r="B68" s="23" t="s">
        <v>122</v>
      </c>
      <c r="C68" s="409" t="s">
        <v>319</v>
      </c>
      <c r="D68" s="117" t="s">
        <v>323</v>
      </c>
      <c r="E68" s="48" t="s">
        <v>140</v>
      </c>
      <c r="F68" s="172">
        <f>4790*1.04*1.05*1.05</f>
        <v>5492.2140000000009</v>
      </c>
      <c r="G68" s="172"/>
      <c r="H68" s="172">
        <v>90</v>
      </c>
      <c r="I68" s="172"/>
      <c r="J68" s="173"/>
      <c r="K68" s="172">
        <f t="shared" si="13"/>
        <v>5582.2140000000009</v>
      </c>
    </row>
    <row r="69" spans="1:11" ht="51" customHeight="1">
      <c r="A69" s="65" t="s">
        <v>332</v>
      </c>
      <c r="B69" s="23" t="s">
        <v>103</v>
      </c>
      <c r="C69" s="409" t="s">
        <v>319</v>
      </c>
      <c r="D69" s="129" t="s">
        <v>323</v>
      </c>
      <c r="E69" s="47" t="s">
        <v>140</v>
      </c>
      <c r="F69" s="171">
        <f>4552*1.04*1.05*1.05</f>
        <v>5219.3232000000007</v>
      </c>
      <c r="G69" s="171"/>
      <c r="H69" s="171">
        <v>90</v>
      </c>
      <c r="I69" s="171"/>
      <c r="J69" s="173"/>
      <c r="K69" s="172">
        <f t="shared" si="13"/>
        <v>5309.3232000000007</v>
      </c>
    </row>
    <row r="70" spans="1:11" ht="51" customHeight="1">
      <c r="A70" s="83" t="s">
        <v>135</v>
      </c>
      <c r="B70" s="24" t="s">
        <v>572</v>
      </c>
      <c r="C70" s="41" t="s">
        <v>319</v>
      </c>
      <c r="D70" s="41" t="s">
        <v>323</v>
      </c>
      <c r="E70" s="145" t="s">
        <v>140</v>
      </c>
      <c r="F70" s="171">
        <f>4618*1.04*1.05*1.05</f>
        <v>5294.9988000000012</v>
      </c>
      <c r="G70" s="171"/>
      <c r="H70" s="171">
        <v>90</v>
      </c>
      <c r="I70" s="171"/>
      <c r="J70" s="173"/>
      <c r="K70" s="172">
        <f t="shared" si="13"/>
        <v>5384.9988000000012</v>
      </c>
    </row>
    <row r="71" spans="1:11" ht="51" customHeight="1" thickBot="1">
      <c r="A71" s="65" t="s">
        <v>132</v>
      </c>
      <c r="B71" s="23" t="s">
        <v>20</v>
      </c>
      <c r="C71" s="409" t="s">
        <v>319</v>
      </c>
      <c r="D71" s="294" t="s">
        <v>323</v>
      </c>
      <c r="E71" s="294" t="s">
        <v>635</v>
      </c>
      <c r="F71" s="275">
        <f>6928*1.04*1.05*1.05</f>
        <v>7943.6448000000009</v>
      </c>
      <c r="G71" s="275">
        <f>220*1.04*1.05*1.05</f>
        <v>252.25200000000001</v>
      </c>
      <c r="H71" s="275"/>
      <c r="I71" s="275"/>
      <c r="J71" s="402"/>
      <c r="K71" s="274">
        <f t="shared" si="13"/>
        <v>7691.3928000000005</v>
      </c>
    </row>
    <row r="72" spans="1:11" ht="25.5" customHeight="1" thickTop="1" thickBot="1">
      <c r="B72" s="33"/>
      <c r="D72" s="23"/>
      <c r="E72" s="56" t="s">
        <v>6</v>
      </c>
      <c r="F72" s="173">
        <f>SUM(F65:F71)</f>
        <v>48238.608600000007</v>
      </c>
      <c r="G72" s="173">
        <f t="shared" ref="G72:J72" si="14">SUM(G65:G71)</f>
        <v>958.55760000000009</v>
      </c>
      <c r="H72" s="173">
        <f t="shared" si="14"/>
        <v>360</v>
      </c>
      <c r="I72" s="173">
        <f t="shared" si="14"/>
        <v>0</v>
      </c>
      <c r="J72" s="173">
        <f t="shared" si="14"/>
        <v>0</v>
      </c>
      <c r="K72" s="173">
        <f>SUM(K65:K71)</f>
        <v>47640.051000000007</v>
      </c>
    </row>
    <row r="73" spans="1:11" ht="25.5" customHeight="1" thickBot="1">
      <c r="B73" s="33"/>
      <c r="D73" s="110"/>
      <c r="E73" s="174" t="s">
        <v>329</v>
      </c>
      <c r="F73" s="175">
        <f>F72-[1]MADRE!$H$99</f>
        <v>0</v>
      </c>
      <c r="G73" s="175">
        <f>G72-[1]MADRE!$I$99</f>
        <v>0</v>
      </c>
      <c r="H73" s="175">
        <f>H72-[10]MADRE!$J$110</f>
        <v>0</v>
      </c>
      <c r="I73" s="175">
        <f>I72-[2]MADRE!K$105</f>
        <v>0</v>
      </c>
      <c r="J73" s="175">
        <f>J72-[3]MADRE!$L$99</f>
        <v>0</v>
      </c>
      <c r="K73" s="175">
        <f>K72-[3]MADRE!$M$99</f>
        <v>0</v>
      </c>
    </row>
    <row r="74" spans="1:11" ht="15" customHeight="1">
      <c r="A74" s="26" t="s">
        <v>295</v>
      </c>
      <c r="B74" s="324"/>
      <c r="C74" s="109"/>
      <c r="D74" s="109"/>
      <c r="E74" s="29"/>
      <c r="F74" s="29"/>
      <c r="G74" s="29"/>
      <c r="H74" s="29"/>
      <c r="I74" s="29"/>
      <c r="J74" s="397"/>
      <c r="K74" s="29"/>
    </row>
    <row r="75" spans="1:11" ht="51" customHeight="1" thickBot="1">
      <c r="A75" s="305" t="s">
        <v>656</v>
      </c>
      <c r="B75" s="330" t="s">
        <v>657</v>
      </c>
      <c r="C75" s="40" t="s">
        <v>319</v>
      </c>
      <c r="D75" s="40" t="s">
        <v>333</v>
      </c>
      <c r="E75" s="343" t="s">
        <v>658</v>
      </c>
      <c r="F75" s="298">
        <f>5000*1.05</f>
        <v>5250</v>
      </c>
      <c r="G75" s="298"/>
      <c r="H75" s="171"/>
      <c r="I75" s="171"/>
      <c r="J75" s="181"/>
      <c r="K75" s="189">
        <f>F75-G75+J75</f>
        <v>5250</v>
      </c>
    </row>
    <row r="76" spans="1:11" ht="25.5" customHeight="1" thickTop="1" thickBot="1">
      <c r="B76" s="33"/>
      <c r="D76" s="23"/>
      <c r="E76" s="56" t="s">
        <v>6</v>
      </c>
      <c r="F76" s="180">
        <f>SUM(F75:F75)</f>
        <v>5250</v>
      </c>
      <c r="G76" s="180">
        <f>SUM(G75:G75)</f>
        <v>0</v>
      </c>
      <c r="H76" s="180">
        <f t="shared" ref="H76:J76" si="15">SUM(H75:H75)</f>
        <v>0</v>
      </c>
      <c r="I76" s="180">
        <f t="shared" si="15"/>
        <v>0</v>
      </c>
      <c r="J76" s="180">
        <f t="shared" si="15"/>
        <v>0</v>
      </c>
      <c r="K76" s="180">
        <f>SUM(K75:K75)</f>
        <v>5250</v>
      </c>
    </row>
    <row r="77" spans="1:11" ht="25.5" customHeight="1" thickBot="1">
      <c r="B77" s="33"/>
      <c r="D77" s="110"/>
      <c r="E77" s="174" t="s">
        <v>329</v>
      </c>
      <c r="F77" s="175">
        <f>F76-[1]MADRE!$H$106</f>
        <v>0</v>
      </c>
      <c r="G77" s="175">
        <f>G76-[12]MADRE!$I$113</f>
        <v>0</v>
      </c>
      <c r="H77" s="175">
        <f>H76-[2]MADRE!J$113</f>
        <v>0</v>
      </c>
      <c r="I77" s="175">
        <f>I76-[2]MADRE!K$113</f>
        <v>0</v>
      </c>
      <c r="J77" s="175">
        <f>J76-[3]MADRE!$L$106</f>
        <v>0</v>
      </c>
      <c r="K77" s="175">
        <f>K76-[3]MADRE!$M$106</f>
        <v>0</v>
      </c>
    </row>
    <row r="78" spans="1:11" ht="15" customHeight="1">
      <c r="A78" s="26" t="s">
        <v>554</v>
      </c>
      <c r="B78" s="324"/>
      <c r="C78" s="109"/>
      <c r="D78" s="109"/>
      <c r="E78" s="29"/>
      <c r="F78" s="29"/>
      <c r="G78" s="29" t="s">
        <v>441</v>
      </c>
      <c r="H78" s="29"/>
      <c r="I78" s="29"/>
      <c r="J78" s="29"/>
      <c r="K78" s="29"/>
    </row>
    <row r="79" spans="1:11" ht="10.5" customHeight="1">
      <c r="A79" s="75"/>
      <c r="B79" s="32"/>
      <c r="C79" s="46"/>
      <c r="D79" s="115"/>
      <c r="E79" s="32"/>
      <c r="F79" s="176"/>
      <c r="G79" s="176"/>
      <c r="H79" s="176"/>
      <c r="I79" s="176"/>
      <c r="J79" s="176"/>
      <c r="K79" s="176"/>
    </row>
    <row r="80" spans="1:11" ht="51" customHeight="1">
      <c r="A80" s="64" t="s">
        <v>493</v>
      </c>
      <c r="B80" s="35" t="s">
        <v>565</v>
      </c>
      <c r="C80" s="408" t="s">
        <v>319</v>
      </c>
      <c r="D80" s="121" t="s">
        <v>323</v>
      </c>
      <c r="E80" s="127" t="s">
        <v>400</v>
      </c>
      <c r="F80" s="179">
        <f>10038*1.04*1.05*1.05</f>
        <v>11509.570800000001</v>
      </c>
      <c r="G80" s="179">
        <f>441*1.04*1.05*1.05</f>
        <v>505.65060000000011</v>
      </c>
      <c r="H80" s="176"/>
      <c r="I80" s="176"/>
      <c r="J80" s="176"/>
      <c r="K80" s="179">
        <f>F80-G80+J80</f>
        <v>11003.9202</v>
      </c>
    </row>
    <row r="81" spans="1:11" ht="51.75" customHeight="1">
      <c r="A81" s="65" t="s">
        <v>600</v>
      </c>
      <c r="B81" s="40" t="s">
        <v>601</v>
      </c>
      <c r="C81" s="409" t="s">
        <v>319</v>
      </c>
      <c r="D81" s="117" t="s">
        <v>323</v>
      </c>
      <c r="E81" s="125" t="s">
        <v>669</v>
      </c>
      <c r="F81" s="171">
        <f>3800*1.05*1.05</f>
        <v>4189.5</v>
      </c>
      <c r="J81" s="173"/>
      <c r="K81" s="171">
        <f>F81-G81+H81+J81</f>
        <v>4189.5</v>
      </c>
    </row>
    <row r="82" spans="1:11" ht="51" customHeight="1">
      <c r="A82" s="63" t="s">
        <v>215</v>
      </c>
      <c r="B82" s="23" t="s">
        <v>40</v>
      </c>
      <c r="C82" s="409" t="s">
        <v>319</v>
      </c>
      <c r="D82" s="117" t="s">
        <v>323</v>
      </c>
      <c r="E82" s="36" t="s">
        <v>210</v>
      </c>
      <c r="F82" s="171">
        <f>4415*1.05*1.05*1.05</f>
        <v>5110.9143750000003</v>
      </c>
      <c r="G82" s="171"/>
      <c r="H82" s="171">
        <v>90</v>
      </c>
      <c r="I82" s="171"/>
      <c r="J82" s="173"/>
      <c r="K82" s="171">
        <f>F82-G82+H82+J82</f>
        <v>5200.9143750000003</v>
      </c>
    </row>
    <row r="83" spans="1:11" ht="51" customHeight="1">
      <c r="A83" s="63" t="s">
        <v>627</v>
      </c>
      <c r="B83" s="23" t="s">
        <v>628</v>
      </c>
      <c r="C83" s="409" t="s">
        <v>319</v>
      </c>
      <c r="D83" s="117" t="s">
        <v>333</v>
      </c>
      <c r="E83" s="149" t="s">
        <v>629</v>
      </c>
      <c r="F83" s="171">
        <f>2000*1.05*1.05</f>
        <v>2205</v>
      </c>
      <c r="G83" s="171"/>
      <c r="H83" s="171">
        <v>167</v>
      </c>
      <c r="I83" s="171"/>
      <c r="J83" s="173"/>
      <c r="K83" s="171">
        <f>F83-G83+H83+J83</f>
        <v>2372</v>
      </c>
    </row>
    <row r="84" spans="1:11" ht="51" customHeight="1" thickBot="1">
      <c r="A84" s="63" t="s">
        <v>166</v>
      </c>
      <c r="B84" s="37" t="s">
        <v>108</v>
      </c>
      <c r="C84" s="410" t="s">
        <v>319</v>
      </c>
      <c r="D84" s="37" t="s">
        <v>323</v>
      </c>
      <c r="E84" s="53" t="s">
        <v>145</v>
      </c>
      <c r="F84" s="234">
        <f>2756*1.05*1.05*1.05</f>
        <v>3190.4145000000003</v>
      </c>
      <c r="G84" s="234"/>
      <c r="H84" s="202">
        <v>167</v>
      </c>
      <c r="I84" s="234"/>
      <c r="J84" s="435"/>
      <c r="K84" s="201">
        <f>F84-G84+H84+J84</f>
        <v>3357.4145000000003</v>
      </c>
    </row>
    <row r="85" spans="1:11" ht="25.5" customHeight="1" thickTop="1" thickBot="1">
      <c r="B85" s="33"/>
      <c r="D85" s="23"/>
      <c r="E85" s="56" t="s">
        <v>6</v>
      </c>
      <c r="F85" s="173">
        <f>SUM(F80:F84)</f>
        <v>26205.399675000001</v>
      </c>
      <c r="G85" s="173">
        <f t="shared" ref="G85:J85" si="16">SUM(G80:G84)</f>
        <v>505.65060000000011</v>
      </c>
      <c r="H85" s="173">
        <f t="shared" si="16"/>
        <v>424</v>
      </c>
      <c r="I85" s="173">
        <f t="shared" si="16"/>
        <v>0</v>
      </c>
      <c r="J85" s="173">
        <f t="shared" si="16"/>
        <v>0</v>
      </c>
      <c r="K85" s="173">
        <f>SUM(K80:K84)</f>
        <v>26123.749075</v>
      </c>
    </row>
    <row r="86" spans="1:11" ht="25.5" customHeight="1">
      <c r="B86" s="33"/>
      <c r="D86" s="112"/>
      <c r="E86" s="177" t="s">
        <v>329</v>
      </c>
      <c r="F86" s="178">
        <f>F85-[1]MADRE!$H$118</f>
        <v>0</v>
      </c>
      <c r="G86" s="178">
        <f>G85-[1]MADRE!$I$118</f>
        <v>0</v>
      </c>
      <c r="H86" s="178">
        <f>H85-[13]MADRE!$J$129</f>
        <v>0</v>
      </c>
      <c r="I86" s="178">
        <f>I85-[2]MADRE!K$124</f>
        <v>0</v>
      </c>
      <c r="J86" s="178">
        <f>J85-[3]MADRE!$L$118</f>
        <v>0</v>
      </c>
      <c r="K86" s="178">
        <f>K85-[3]MADRE!$M$118</f>
        <v>0</v>
      </c>
    </row>
    <row r="87" spans="1:11" ht="15" customHeight="1">
      <c r="A87" s="71" t="s">
        <v>296</v>
      </c>
      <c r="B87" s="327"/>
      <c r="C87" s="113"/>
      <c r="D87" s="113"/>
      <c r="E87" s="34"/>
      <c r="F87" s="34"/>
      <c r="G87" s="34"/>
      <c r="H87" s="34"/>
      <c r="I87" s="34"/>
      <c r="J87" s="434"/>
      <c r="K87" s="34"/>
    </row>
    <row r="88" spans="1:11" ht="64.5" customHeight="1">
      <c r="A88" s="65" t="s">
        <v>613</v>
      </c>
      <c r="B88" s="40" t="s">
        <v>614</v>
      </c>
      <c r="C88" s="409" t="s">
        <v>319</v>
      </c>
      <c r="D88" s="147" t="s">
        <v>323</v>
      </c>
      <c r="E88" s="54" t="s">
        <v>645</v>
      </c>
      <c r="F88" s="171">
        <f>6150*1.05</f>
        <v>6457.5</v>
      </c>
      <c r="G88" s="171">
        <v>162.07</v>
      </c>
      <c r="H88" s="172"/>
      <c r="I88" s="172"/>
      <c r="J88" s="173"/>
      <c r="K88" s="172">
        <f>F88-G88+H88+I88+J88</f>
        <v>6295.43</v>
      </c>
    </row>
    <row r="89" spans="1:11" ht="51" customHeight="1">
      <c r="A89" s="65" t="s">
        <v>146</v>
      </c>
      <c r="B89" s="23" t="s">
        <v>57</v>
      </c>
      <c r="C89" s="409" t="s">
        <v>319</v>
      </c>
      <c r="D89" s="147" t="s">
        <v>323</v>
      </c>
      <c r="E89" s="54" t="s">
        <v>147</v>
      </c>
      <c r="F89" s="224">
        <f>5765*1.04*1.05*1.05</f>
        <v>6610.1490000000013</v>
      </c>
      <c r="G89" s="172">
        <f>299*1.04*1.05*1.05</f>
        <v>342.83340000000004</v>
      </c>
      <c r="H89" s="172"/>
      <c r="I89" s="172"/>
      <c r="J89" s="173"/>
      <c r="K89" s="172">
        <f t="shared" ref="K89:K93" si="17">F89-G89+H89+I89+J89</f>
        <v>6267.3156000000008</v>
      </c>
    </row>
    <row r="90" spans="1:11" ht="51" customHeight="1">
      <c r="A90" s="65" t="s">
        <v>434</v>
      </c>
      <c r="B90" s="23" t="s">
        <v>435</v>
      </c>
      <c r="C90" s="409" t="s">
        <v>319</v>
      </c>
      <c r="D90" s="147" t="s">
        <v>323</v>
      </c>
      <c r="E90" s="167" t="s">
        <v>426</v>
      </c>
      <c r="F90" s="224">
        <f>4310*1.04*1.05*1.05</f>
        <v>4941.8460000000005</v>
      </c>
      <c r="G90" s="172"/>
      <c r="H90" s="172">
        <v>90</v>
      </c>
      <c r="I90" s="172"/>
      <c r="J90" s="173"/>
      <c r="K90" s="172">
        <f t="shared" si="17"/>
        <v>5031.8460000000005</v>
      </c>
    </row>
    <row r="91" spans="1:11" ht="51" customHeight="1">
      <c r="A91" s="65" t="s">
        <v>443</v>
      </c>
      <c r="B91" s="23" t="s">
        <v>444</v>
      </c>
      <c r="C91" s="411" t="s">
        <v>319</v>
      </c>
      <c r="D91" s="282" t="s">
        <v>323</v>
      </c>
      <c r="E91" s="256" t="s">
        <v>445</v>
      </c>
      <c r="F91" s="224">
        <f>4310*1.04*1.05*1.05</f>
        <v>4941.8460000000005</v>
      </c>
      <c r="G91" s="172"/>
      <c r="H91" s="172">
        <v>90</v>
      </c>
      <c r="I91" s="172"/>
      <c r="J91" s="173"/>
      <c r="K91" s="172">
        <f t="shared" si="17"/>
        <v>5031.8460000000005</v>
      </c>
    </row>
    <row r="92" spans="1:11" ht="51" customHeight="1">
      <c r="A92" s="63" t="s">
        <v>521</v>
      </c>
      <c r="B92" s="23"/>
      <c r="C92" s="409" t="s">
        <v>319</v>
      </c>
      <c r="D92" s="283" t="s">
        <v>333</v>
      </c>
      <c r="E92" s="119" t="s">
        <v>522</v>
      </c>
      <c r="F92" s="171">
        <f>3465*1.05*1.05</f>
        <v>3820.1625000000004</v>
      </c>
      <c r="G92" s="172"/>
      <c r="H92" s="172">
        <v>90</v>
      </c>
      <c r="I92" s="172"/>
      <c r="J92" s="173"/>
      <c r="K92" s="172">
        <f t="shared" si="17"/>
        <v>3910.1625000000004</v>
      </c>
    </row>
    <row r="93" spans="1:11" ht="51" customHeight="1" thickBot="1">
      <c r="A93" s="65" t="s">
        <v>529</v>
      </c>
      <c r="B93" s="23" t="s">
        <v>446</v>
      </c>
      <c r="C93" s="411" t="s">
        <v>319</v>
      </c>
      <c r="D93" s="284" t="s">
        <v>323</v>
      </c>
      <c r="E93" s="285" t="s">
        <v>426</v>
      </c>
      <c r="F93" s="273">
        <f>4310*1.04*1.05*1.05</f>
        <v>4941.8460000000005</v>
      </c>
      <c r="G93" s="172"/>
      <c r="H93" s="172">
        <v>90</v>
      </c>
      <c r="I93" s="172"/>
      <c r="J93" s="173"/>
      <c r="K93" s="172">
        <f t="shared" si="17"/>
        <v>5031.8460000000005</v>
      </c>
    </row>
    <row r="94" spans="1:11" ht="25.5" customHeight="1" thickTop="1" thickBot="1">
      <c r="A94" s="77"/>
      <c r="B94" s="33"/>
      <c r="D94" s="23"/>
      <c r="E94" s="56" t="s">
        <v>6</v>
      </c>
      <c r="F94" s="180">
        <f>SUM(F88:F93)</f>
        <v>31713.349500000008</v>
      </c>
      <c r="G94" s="180">
        <f>SUM(G88:G93)</f>
        <v>504.90340000000003</v>
      </c>
      <c r="H94" s="180">
        <f>SUM(H88:H93)</f>
        <v>360</v>
      </c>
      <c r="I94" s="180">
        <f t="shared" ref="I94:J94" si="18">SUM(I88:I93)</f>
        <v>0</v>
      </c>
      <c r="J94" s="180">
        <f t="shared" si="18"/>
        <v>0</v>
      </c>
      <c r="K94" s="180">
        <f>SUM(K88:K93)</f>
        <v>31568.446100000005</v>
      </c>
    </row>
    <row r="95" spans="1:11" ht="25.5" customHeight="1" thickBot="1">
      <c r="A95" s="77"/>
      <c r="B95" s="33"/>
      <c r="D95" s="110"/>
      <c r="E95" s="174" t="s">
        <v>329</v>
      </c>
      <c r="F95" s="190">
        <f>F94-[1]MADRE!$H$130</f>
        <v>0</v>
      </c>
      <c r="G95" s="190">
        <f>G94-[1]MADRE!$I$130</f>
        <v>0</v>
      </c>
      <c r="H95" s="190">
        <f>H94-[14]MADRE!$J$141</f>
        <v>0</v>
      </c>
      <c r="I95" s="190">
        <f>I94-[2]MADRE!K$135</f>
        <v>0</v>
      </c>
      <c r="J95" s="190">
        <f>J94-[3]MADRE!$L$130</f>
        <v>0</v>
      </c>
      <c r="K95" s="190">
        <f>K94-[3]MADRE!$M$130</f>
        <v>0</v>
      </c>
    </row>
    <row r="96" spans="1:11" ht="15" customHeight="1">
      <c r="A96" s="57" t="s">
        <v>398</v>
      </c>
      <c r="B96" s="326"/>
      <c r="C96" s="111"/>
      <c r="D96" s="111"/>
      <c r="E96" s="31"/>
      <c r="F96" s="29"/>
      <c r="G96" s="29"/>
      <c r="H96" s="29"/>
      <c r="I96" s="29"/>
      <c r="J96" s="397"/>
      <c r="K96" s="29"/>
    </row>
    <row r="97" spans="1:11" ht="60.75" customHeight="1">
      <c r="A97" s="63" t="s">
        <v>519</v>
      </c>
      <c r="B97" s="39"/>
      <c r="C97" s="40" t="s">
        <v>319</v>
      </c>
      <c r="D97" s="262" t="s">
        <v>323</v>
      </c>
      <c r="E97" s="39" t="s">
        <v>535</v>
      </c>
      <c r="F97" s="171">
        <f>3969*1.04*1.05*1.05</f>
        <v>4550.8554000000004</v>
      </c>
      <c r="G97" s="171"/>
      <c r="H97" s="171">
        <v>140</v>
      </c>
      <c r="I97" s="171"/>
      <c r="J97" s="173"/>
      <c r="K97" s="171">
        <f>F97-G97+H97+I97+J97</f>
        <v>4690.8554000000004</v>
      </c>
    </row>
    <row r="98" spans="1:11" ht="51" customHeight="1">
      <c r="A98" s="78" t="s">
        <v>188</v>
      </c>
      <c r="B98" s="23" t="s">
        <v>15</v>
      </c>
      <c r="C98" s="40" t="s">
        <v>319</v>
      </c>
      <c r="D98" s="38" t="s">
        <v>323</v>
      </c>
      <c r="E98" s="24" t="s">
        <v>193</v>
      </c>
      <c r="F98" s="171">
        <f>6118*1.04*1.05*1.05</f>
        <v>7014.8988000000008</v>
      </c>
      <c r="G98" s="171">
        <f>456*1.04*1.05*1.05</f>
        <v>522.84960000000012</v>
      </c>
      <c r="H98" s="171"/>
      <c r="I98" s="203"/>
      <c r="J98" s="173"/>
      <c r="K98" s="171">
        <f t="shared" ref="K98:K102" si="19">F98-G98+H98+I98+J98</f>
        <v>6492.0492000000004</v>
      </c>
    </row>
    <row r="99" spans="1:11" ht="51" customHeight="1">
      <c r="A99" s="94" t="s">
        <v>189</v>
      </c>
      <c r="B99" s="294" t="s">
        <v>17</v>
      </c>
      <c r="C99" s="412" t="s">
        <v>319</v>
      </c>
      <c r="D99" s="131" t="s">
        <v>323</v>
      </c>
      <c r="E99" s="128" t="s">
        <v>193</v>
      </c>
      <c r="F99" s="204">
        <f>6468*1.04*1.05*1.05</f>
        <v>7416.2088000000012</v>
      </c>
      <c r="G99" s="171">
        <f>456*1.04*1.05*1.05</f>
        <v>522.84960000000012</v>
      </c>
      <c r="H99" s="187"/>
      <c r="I99" s="204"/>
      <c r="J99" s="173"/>
      <c r="K99" s="171">
        <f t="shared" si="19"/>
        <v>6893.3592000000008</v>
      </c>
    </row>
    <row r="100" spans="1:11" ht="51" customHeight="1">
      <c r="A100" s="306" t="s">
        <v>190</v>
      </c>
      <c r="B100" s="41" t="s">
        <v>119</v>
      </c>
      <c r="C100" s="413" t="s">
        <v>319</v>
      </c>
      <c r="D100" s="132" t="s">
        <v>323</v>
      </c>
      <c r="E100" s="163" t="s">
        <v>193</v>
      </c>
      <c r="F100" s="206">
        <f>6228*1.04*1.05*1.05</f>
        <v>7141.0248000000011</v>
      </c>
      <c r="G100" s="171">
        <f>456*1.04*1.05*1.05</f>
        <v>522.84960000000012</v>
      </c>
      <c r="H100" s="207"/>
      <c r="I100" s="206"/>
      <c r="J100" s="173"/>
      <c r="K100" s="171">
        <f t="shared" si="19"/>
        <v>6618.1752000000006</v>
      </c>
    </row>
    <row r="101" spans="1:11" ht="51" customHeight="1">
      <c r="A101" s="79" t="s">
        <v>191</v>
      </c>
      <c r="B101" s="23" t="s">
        <v>18</v>
      </c>
      <c r="C101" s="407" t="s">
        <v>319</v>
      </c>
      <c r="D101" s="117" t="s">
        <v>323</v>
      </c>
      <c r="E101" s="210" t="s">
        <v>194</v>
      </c>
      <c r="F101" s="211">
        <f>4811.2*1.05*1.05</f>
        <v>5304.3480000000009</v>
      </c>
      <c r="G101" s="212"/>
      <c r="H101" s="213">
        <v>90</v>
      </c>
      <c r="I101" s="214"/>
      <c r="J101" s="173"/>
      <c r="K101" s="171">
        <f t="shared" si="19"/>
        <v>5394.3480000000009</v>
      </c>
    </row>
    <row r="102" spans="1:11" ht="51" customHeight="1" thickBot="1">
      <c r="A102" s="79" t="s">
        <v>192</v>
      </c>
      <c r="B102" s="23" t="s">
        <v>16</v>
      </c>
      <c r="C102" s="409" t="s">
        <v>319</v>
      </c>
      <c r="D102" s="133" t="s">
        <v>323</v>
      </c>
      <c r="E102" s="24" t="s">
        <v>193</v>
      </c>
      <c r="F102" s="171">
        <f>5997*1.04*1.05*1.05</f>
        <v>6876.1602000000003</v>
      </c>
      <c r="G102" s="171">
        <f>456*1.04*1.05*1.05</f>
        <v>522.84960000000012</v>
      </c>
      <c r="H102" s="214"/>
      <c r="I102" s="214"/>
      <c r="J102" s="173"/>
      <c r="K102" s="171">
        <f t="shared" si="19"/>
        <v>6353.3105999999998</v>
      </c>
    </row>
    <row r="103" spans="1:11" ht="25.5" customHeight="1" thickTop="1">
      <c r="B103" s="33"/>
      <c r="D103" s="23"/>
      <c r="E103" s="56" t="s">
        <v>6</v>
      </c>
      <c r="F103" s="180">
        <f t="shared" ref="F103:J103" si="20">SUM(F97:F102)</f>
        <v>38303.496000000006</v>
      </c>
      <c r="G103" s="180">
        <f t="shared" si="20"/>
        <v>2091.3984000000005</v>
      </c>
      <c r="H103" s="180">
        <f t="shared" si="20"/>
        <v>230</v>
      </c>
      <c r="I103" s="180">
        <f t="shared" si="20"/>
        <v>0</v>
      </c>
      <c r="J103" s="180">
        <f t="shared" si="20"/>
        <v>0</v>
      </c>
      <c r="K103" s="180">
        <f>SUM(K97:K102)</f>
        <v>36442.097600000001</v>
      </c>
    </row>
    <row r="104" spans="1:11" ht="25.5" customHeight="1" thickBot="1">
      <c r="B104" s="33"/>
      <c r="D104" s="134"/>
      <c r="E104" s="215" t="s">
        <v>329</v>
      </c>
      <c r="F104" s="216">
        <f>F103-[15]MADRE!$H$142</f>
        <v>0</v>
      </c>
      <c r="G104" s="216">
        <f>G103-[15]MADRE!$I$142</f>
        <v>0</v>
      </c>
      <c r="H104" s="216">
        <f>H103-[14]MADRE!$J$154</f>
        <v>0</v>
      </c>
      <c r="I104" s="216">
        <f>I103-[2]MADRE!K$147</f>
        <v>0</v>
      </c>
      <c r="J104" s="216">
        <f>J103-[3]MADRE!$L$142</f>
        <v>0</v>
      </c>
      <c r="K104" s="216">
        <f>K103-[3]MADRE!$M$142</f>
        <v>0</v>
      </c>
    </row>
    <row r="105" spans="1:11" ht="15" customHeight="1">
      <c r="A105" s="26" t="s">
        <v>297</v>
      </c>
      <c r="B105" s="324"/>
      <c r="C105" s="109"/>
      <c r="D105" s="135"/>
      <c r="E105" s="31"/>
      <c r="F105" s="29"/>
      <c r="G105" s="29"/>
      <c r="H105" s="29"/>
      <c r="I105" s="29"/>
      <c r="J105" s="397"/>
      <c r="K105" s="29"/>
    </row>
    <row r="106" spans="1:11" ht="51" customHeight="1">
      <c r="A106" s="66" t="s">
        <v>690</v>
      </c>
      <c r="B106" s="287" t="s">
        <v>691</v>
      </c>
      <c r="C106" s="46" t="s">
        <v>321</v>
      </c>
      <c r="D106" s="32" t="s">
        <v>323</v>
      </c>
      <c r="E106" s="363" t="s">
        <v>736</v>
      </c>
      <c r="F106" s="427">
        <f>3800*1.08</f>
        <v>4104</v>
      </c>
      <c r="G106" s="179"/>
      <c r="H106" s="179"/>
      <c r="I106" s="179"/>
      <c r="J106" s="179"/>
      <c r="K106" s="179">
        <f>F106+J106</f>
        <v>4104</v>
      </c>
    </row>
    <row r="107" spans="1:11" ht="45" customHeight="1" thickBot="1">
      <c r="A107" s="63" t="s">
        <v>528</v>
      </c>
      <c r="B107" s="39" t="s">
        <v>618</v>
      </c>
      <c r="C107" s="40" t="s">
        <v>321</v>
      </c>
      <c r="D107" s="40" t="s">
        <v>323</v>
      </c>
      <c r="E107" s="39" t="s">
        <v>606</v>
      </c>
      <c r="F107" s="275">
        <f>2400*1.04*1.05*1.05</f>
        <v>2751.84</v>
      </c>
      <c r="G107" s="303"/>
      <c r="H107" s="303"/>
      <c r="I107" s="431"/>
      <c r="J107" s="402"/>
      <c r="K107" s="272">
        <f>F107-G107+H107+J107</f>
        <v>2751.84</v>
      </c>
    </row>
    <row r="108" spans="1:11" ht="25.5" customHeight="1" thickTop="1" thickBot="1">
      <c r="B108" s="33"/>
      <c r="D108" s="23"/>
      <c r="E108" s="56" t="s">
        <v>6</v>
      </c>
      <c r="F108" s="173">
        <f>SUM(F106:F107)</f>
        <v>6855.84</v>
      </c>
      <c r="G108" s="173">
        <f t="shared" ref="G108:J108" si="21">SUM(G106:G107)</f>
        <v>0</v>
      </c>
      <c r="H108" s="173">
        <f t="shared" si="21"/>
        <v>0</v>
      </c>
      <c r="I108" s="173">
        <f t="shared" si="21"/>
        <v>0</v>
      </c>
      <c r="J108" s="173">
        <f t="shared" si="21"/>
        <v>0</v>
      </c>
      <c r="K108" s="173">
        <f>SUM(K106:K107)</f>
        <v>6855.84</v>
      </c>
    </row>
    <row r="109" spans="1:11" ht="25.5" customHeight="1" thickBot="1">
      <c r="B109" s="33"/>
      <c r="D109" s="112"/>
      <c r="E109" s="174" t="s">
        <v>329</v>
      </c>
      <c r="F109" s="175">
        <f>F108-[15]MADRE!$H$150</f>
        <v>0</v>
      </c>
      <c r="G109" s="175">
        <f>G108-[15]MADRE!$I$150</f>
        <v>0</v>
      </c>
      <c r="H109" s="175">
        <f>H108-[2]MADRE!J$155</f>
        <v>0</v>
      </c>
      <c r="I109" s="175">
        <f>I108-[2]MADRE!K$155</f>
        <v>0</v>
      </c>
      <c r="J109" s="175">
        <f>J108+[3]MADRE!$L$150</f>
        <v>0</v>
      </c>
      <c r="K109" s="175">
        <f>K108-[3]MADRE!$M$150</f>
        <v>0</v>
      </c>
    </row>
    <row r="110" spans="1:11" ht="15" customHeight="1">
      <c r="A110" s="57" t="s">
        <v>633</v>
      </c>
      <c r="B110" s="326"/>
      <c r="C110" s="109"/>
      <c r="D110" s="136"/>
      <c r="E110" s="29"/>
      <c r="F110" s="29"/>
      <c r="G110" s="29"/>
      <c r="H110" s="29"/>
      <c r="I110" s="29"/>
      <c r="J110" s="397"/>
      <c r="K110" s="29"/>
    </row>
    <row r="111" spans="1:11" ht="51" customHeight="1">
      <c r="A111" s="64" t="s">
        <v>494</v>
      </c>
      <c r="B111" s="35" t="s">
        <v>566</v>
      </c>
      <c r="C111" s="409" t="s">
        <v>319</v>
      </c>
      <c r="D111" s="46" t="s">
        <v>323</v>
      </c>
      <c r="E111" s="127" t="s">
        <v>400</v>
      </c>
      <c r="F111" s="179">
        <f>10038*1.04*1.05*1.05</f>
        <v>11509.570800000001</v>
      </c>
      <c r="G111" s="179">
        <f>441*1.04*1.05*1.05</f>
        <v>505.65060000000011</v>
      </c>
      <c r="H111" s="179"/>
      <c r="I111" s="179"/>
      <c r="J111" s="179"/>
      <c r="K111" s="179">
        <f>F111-G111+H111+J111</f>
        <v>11003.9202</v>
      </c>
    </row>
    <row r="112" spans="1:11" ht="51" customHeight="1" thickBot="1">
      <c r="A112" s="65" t="s">
        <v>534</v>
      </c>
      <c r="B112" s="24" t="s">
        <v>567</v>
      </c>
      <c r="C112" s="40" t="s">
        <v>319</v>
      </c>
      <c r="D112" s="40" t="s">
        <v>333</v>
      </c>
      <c r="E112" s="23" t="s">
        <v>351</v>
      </c>
      <c r="F112" s="272">
        <f>5410*1.05</f>
        <v>5680.5</v>
      </c>
      <c r="G112" s="272"/>
      <c r="H112" s="272">
        <v>90</v>
      </c>
      <c r="I112" s="272"/>
      <c r="J112" s="402"/>
      <c r="K112" s="272">
        <f>F112-G112+H112+J112</f>
        <v>5770.5</v>
      </c>
    </row>
    <row r="113" spans="1:11" ht="25.5" customHeight="1" thickTop="1" thickBot="1">
      <c r="B113" s="33"/>
      <c r="D113" s="23"/>
      <c r="E113" s="56" t="s">
        <v>6</v>
      </c>
      <c r="F113" s="173">
        <f t="shared" ref="F113:J113" si="22">SUM(F111:F112)</f>
        <v>17190.070800000001</v>
      </c>
      <c r="G113" s="173">
        <f t="shared" si="22"/>
        <v>505.65060000000011</v>
      </c>
      <c r="H113" s="173">
        <f t="shared" si="22"/>
        <v>90</v>
      </c>
      <c r="I113" s="173">
        <f t="shared" si="22"/>
        <v>0</v>
      </c>
      <c r="J113" s="173">
        <f t="shared" si="22"/>
        <v>0</v>
      </c>
      <c r="K113" s="173">
        <f>SUM(K111:K112)</f>
        <v>16774.4202</v>
      </c>
    </row>
    <row r="114" spans="1:11" ht="25.5" customHeight="1" thickBot="1">
      <c r="B114" s="33"/>
      <c r="D114" s="110"/>
      <c r="E114" s="174" t="s">
        <v>329</v>
      </c>
      <c r="F114" s="175">
        <f>F113-[1]MADRE!$H$159</f>
        <v>0</v>
      </c>
      <c r="G114" s="175">
        <f>G113-[1]MADRE!$I$159</f>
        <v>0</v>
      </c>
      <c r="H114" s="175">
        <f>H113-[16]MADRE!$J$163</f>
        <v>0</v>
      </c>
      <c r="I114" s="175">
        <f>I113-[2]MADRE!K$162</f>
        <v>0</v>
      </c>
      <c r="J114" s="175">
        <f>J113-[3]MADRE!$L$150</f>
        <v>0</v>
      </c>
      <c r="K114" s="175">
        <f>K113-[3]MADRE!$M$158</f>
        <v>0</v>
      </c>
    </row>
    <row r="115" spans="1:11" s="4" customFormat="1" ht="15" customHeight="1">
      <c r="A115" s="26" t="s">
        <v>397</v>
      </c>
      <c r="B115" s="324"/>
      <c r="C115" s="109"/>
      <c r="D115" s="111"/>
      <c r="E115" s="31"/>
      <c r="F115" s="31"/>
      <c r="G115" s="31"/>
      <c r="H115" s="31"/>
      <c r="I115" s="31"/>
      <c r="J115" s="433"/>
      <c r="K115" s="31"/>
    </row>
    <row r="116" spans="1:11" s="4" customFormat="1" ht="51" customHeight="1" thickBot="1">
      <c r="A116" s="64" t="s">
        <v>495</v>
      </c>
      <c r="B116" s="35" t="s">
        <v>568</v>
      </c>
      <c r="C116" s="409" t="s">
        <v>319</v>
      </c>
      <c r="D116" s="32" t="s">
        <v>323</v>
      </c>
      <c r="E116" s="35" t="s">
        <v>487</v>
      </c>
      <c r="F116" s="179">
        <f>7005*1.04*1.05*1.05</f>
        <v>8031.933</v>
      </c>
      <c r="G116" s="179">
        <f>157*1.04*1.05*1.05</f>
        <v>180.01620000000003</v>
      </c>
      <c r="H116" s="217"/>
      <c r="I116" s="217"/>
      <c r="J116" s="217"/>
      <c r="K116" s="179">
        <f>F116-G116+J116</f>
        <v>7851.9168</v>
      </c>
    </row>
    <row r="117" spans="1:11" ht="25.5" customHeight="1" thickTop="1" thickBot="1">
      <c r="A117" s="59"/>
      <c r="B117" s="42"/>
      <c r="D117" s="23"/>
      <c r="E117" s="56" t="s">
        <v>6</v>
      </c>
      <c r="F117" s="180">
        <f t="shared" ref="F117:J117" si="23">SUM(F116:F116)</f>
        <v>8031.933</v>
      </c>
      <c r="G117" s="180">
        <f t="shared" si="23"/>
        <v>180.01620000000003</v>
      </c>
      <c r="H117" s="180">
        <f t="shared" si="23"/>
        <v>0</v>
      </c>
      <c r="I117" s="180">
        <f t="shared" si="23"/>
        <v>0</v>
      </c>
      <c r="J117" s="180">
        <f t="shared" si="23"/>
        <v>0</v>
      </c>
      <c r="K117" s="180">
        <f>SUM(K116:K116)</f>
        <v>7851.9168</v>
      </c>
    </row>
    <row r="118" spans="1:11" ht="25.5" customHeight="1">
      <c r="A118" s="59"/>
      <c r="B118" s="42"/>
      <c r="D118" s="112"/>
      <c r="E118" s="177" t="s">
        <v>329</v>
      </c>
      <c r="F118" s="178">
        <f>F117-[1]MADRE!$H$166</f>
        <v>0</v>
      </c>
      <c r="G118" s="178">
        <f>G117-[1]MADRE!$I$166</f>
        <v>0</v>
      </c>
      <c r="H118" s="178">
        <f>H117-[17]MADRE!$J$177</f>
        <v>0</v>
      </c>
      <c r="I118" s="178">
        <f>I117-[2]MADRE!K$170</f>
        <v>0</v>
      </c>
      <c r="J118" s="178">
        <f>J117-[3]MADRE!$L$165</f>
        <v>0</v>
      </c>
      <c r="K118" s="178">
        <f>K117-[3]MADRE!$M$165</f>
        <v>0</v>
      </c>
    </row>
    <row r="119" spans="1:11" ht="15" customHeight="1">
      <c r="A119" s="26" t="s">
        <v>298</v>
      </c>
      <c r="B119" s="326"/>
      <c r="C119" s="111"/>
      <c r="D119" s="137"/>
      <c r="E119" s="34"/>
      <c r="F119" s="34"/>
      <c r="G119" s="34"/>
      <c r="H119" s="34"/>
      <c r="I119" s="34"/>
      <c r="J119" s="434"/>
      <c r="K119" s="34"/>
    </row>
    <row r="120" spans="1:11" ht="51" customHeight="1" thickBot="1">
      <c r="A120" s="68"/>
      <c r="B120" s="35"/>
      <c r="C120" s="40" t="s">
        <v>321</v>
      </c>
      <c r="D120" s="32" t="s">
        <v>324</v>
      </c>
      <c r="E120" s="32"/>
      <c r="F120" s="179"/>
      <c r="G120" s="179"/>
      <c r="H120" s="179"/>
      <c r="I120" s="179"/>
      <c r="J120" s="179"/>
      <c r="K120" s="179">
        <f>F120-G120</f>
        <v>0</v>
      </c>
    </row>
    <row r="121" spans="1:11" ht="25.5" customHeight="1" thickTop="1" thickBot="1">
      <c r="B121" s="33"/>
      <c r="D121" s="23"/>
      <c r="E121" s="56" t="s">
        <v>6</v>
      </c>
      <c r="F121" s="180">
        <f t="shared" ref="F121:K121" si="24">SUM(F120)</f>
        <v>0</v>
      </c>
      <c r="G121" s="180">
        <f t="shared" si="24"/>
        <v>0</v>
      </c>
      <c r="H121" s="180">
        <f t="shared" si="24"/>
        <v>0</v>
      </c>
      <c r="I121" s="180">
        <f t="shared" si="24"/>
        <v>0</v>
      </c>
      <c r="J121" s="180">
        <f t="shared" si="24"/>
        <v>0</v>
      </c>
      <c r="K121" s="180">
        <f t="shared" si="24"/>
        <v>0</v>
      </c>
    </row>
    <row r="122" spans="1:11" ht="25.5" customHeight="1" thickBot="1">
      <c r="B122" s="33"/>
      <c r="D122" s="110"/>
      <c r="E122" s="174" t="s">
        <v>329</v>
      </c>
      <c r="F122" s="175">
        <f>F121-[18]MADRE!$H$184</f>
        <v>0</v>
      </c>
      <c r="G122" s="175">
        <f>G121-[18]MADRE!$I$184</f>
        <v>0</v>
      </c>
      <c r="H122" s="175">
        <f>H121-[2]MADRE!J$177</f>
        <v>0</v>
      </c>
      <c r="I122" s="175">
        <f>I121-[2]MADRE!K$177</f>
        <v>0</v>
      </c>
      <c r="J122" s="175">
        <f>J121-[2]MADRE!L$177</f>
        <v>0</v>
      </c>
      <c r="K122" s="175">
        <f>K121-[18]MADRE!$M$184</f>
        <v>0</v>
      </c>
    </row>
    <row r="123" spans="1:11" ht="15" customHeight="1">
      <c r="A123" s="26" t="s">
        <v>555</v>
      </c>
      <c r="B123" s="324"/>
      <c r="C123" s="109"/>
      <c r="D123" s="109"/>
      <c r="E123" s="29"/>
      <c r="F123" s="29"/>
      <c r="G123" s="29"/>
      <c r="H123" s="29"/>
      <c r="I123" s="29"/>
      <c r="J123" s="397"/>
      <c r="K123" s="29"/>
    </row>
    <row r="124" spans="1:11" ht="53.25" customHeight="1">
      <c r="A124" s="80" t="s">
        <v>536</v>
      </c>
      <c r="B124" s="287" t="s">
        <v>569</v>
      </c>
      <c r="C124" s="40" t="s">
        <v>319</v>
      </c>
      <c r="D124" s="138" t="s">
        <v>323</v>
      </c>
      <c r="E124" s="127" t="s">
        <v>634</v>
      </c>
      <c r="F124" s="179">
        <f>10038*1.04*1.05*1.05</f>
        <v>11509.570800000001</v>
      </c>
      <c r="G124" s="179">
        <f>441*1.04*1.05*1.05</f>
        <v>505.65060000000011</v>
      </c>
      <c r="H124" s="43"/>
      <c r="I124" s="43"/>
      <c r="J124" s="43"/>
      <c r="K124" s="179">
        <f>F124-G124+J124</f>
        <v>11003.9202</v>
      </c>
    </row>
    <row r="125" spans="1:11" ht="51" customHeight="1">
      <c r="A125" s="65" t="s">
        <v>152</v>
      </c>
      <c r="B125" s="23" t="s">
        <v>50</v>
      </c>
      <c r="C125" s="411" t="s">
        <v>319</v>
      </c>
      <c r="D125" s="139" t="s">
        <v>323</v>
      </c>
      <c r="E125" s="23" t="s">
        <v>129</v>
      </c>
      <c r="F125" s="171">
        <f>6961*1.04*1.05*1.05</f>
        <v>7981.4826000000012</v>
      </c>
      <c r="G125" s="218">
        <f>362*1.04*1.05*1.05</f>
        <v>415.06920000000002</v>
      </c>
      <c r="H125" s="218"/>
      <c r="I125" s="218"/>
      <c r="J125" s="399"/>
      <c r="K125" s="171">
        <f>F125-G125+H125+I125+J125</f>
        <v>7566.4134000000013</v>
      </c>
    </row>
    <row r="126" spans="1:11" ht="51" customHeight="1">
      <c r="A126" s="65" t="s">
        <v>153</v>
      </c>
      <c r="B126" s="23" t="s">
        <v>51</v>
      </c>
      <c r="C126" s="146" t="s">
        <v>319</v>
      </c>
      <c r="D126" s="139" t="s">
        <v>323</v>
      </c>
      <c r="E126" s="23" t="s">
        <v>129</v>
      </c>
      <c r="F126" s="171">
        <f>5043*1.04*1.05*1.05</f>
        <v>5782.3038000000006</v>
      </c>
      <c r="G126" s="218"/>
      <c r="H126" s="218">
        <v>90</v>
      </c>
      <c r="I126" s="218"/>
      <c r="J126" s="399"/>
      <c r="K126" s="171">
        <f t="shared" ref="K126:K129" si="25">F126-G126+H126+I126+J126</f>
        <v>5872.3038000000006</v>
      </c>
    </row>
    <row r="127" spans="1:11" ht="51" customHeight="1">
      <c r="A127" s="65" t="s">
        <v>149</v>
      </c>
      <c r="B127" s="23" t="s">
        <v>125</v>
      </c>
      <c r="C127" s="411" t="s">
        <v>319</v>
      </c>
      <c r="D127" s="139" t="s">
        <v>323</v>
      </c>
      <c r="E127" s="24" t="s">
        <v>150</v>
      </c>
      <c r="F127" s="171">
        <f>10291*1.04*1.05*1.05</f>
        <v>11799.660600000003</v>
      </c>
      <c r="G127" s="219">
        <f>441*1.04*1.05*1.05</f>
        <v>505.65060000000011</v>
      </c>
      <c r="H127" s="219">
        <v>0</v>
      </c>
      <c r="I127" s="219"/>
      <c r="J127" s="399"/>
      <c r="K127" s="171">
        <f t="shared" si="25"/>
        <v>11294.010000000002</v>
      </c>
    </row>
    <row r="128" spans="1:11" ht="45" customHeight="1">
      <c r="A128" s="65" t="s">
        <v>395</v>
      </c>
      <c r="B128" s="23" t="s">
        <v>396</v>
      </c>
      <c r="C128" s="40" t="s">
        <v>319</v>
      </c>
      <c r="D128" s="23" t="s">
        <v>323</v>
      </c>
      <c r="E128" s="40" t="s">
        <v>351</v>
      </c>
      <c r="F128" s="172">
        <f>4530*1.04*1.05*1.05</f>
        <v>5194.0980000000009</v>
      </c>
      <c r="G128" s="171"/>
      <c r="H128" s="171">
        <v>90</v>
      </c>
      <c r="I128" s="171"/>
      <c r="J128" s="399"/>
      <c r="K128" s="171">
        <f t="shared" si="25"/>
        <v>5284.0980000000009</v>
      </c>
    </row>
    <row r="129" spans="1:11" ht="51" customHeight="1" thickBot="1">
      <c r="A129" s="65" t="s">
        <v>151</v>
      </c>
      <c r="B129" s="331" t="s">
        <v>82</v>
      </c>
      <c r="C129" s="413" t="s">
        <v>319</v>
      </c>
      <c r="D129" s="140" t="s">
        <v>323</v>
      </c>
      <c r="E129" s="163" t="s">
        <v>150</v>
      </c>
      <c r="F129" s="171">
        <f>6603*1.04*1.05*1.05</f>
        <v>7570.9998000000005</v>
      </c>
      <c r="G129" s="219">
        <f>132*1.04*1.05*1.05</f>
        <v>151.35120000000001</v>
      </c>
      <c r="H129" s="219"/>
      <c r="I129" s="219"/>
      <c r="J129" s="399"/>
      <c r="K129" s="171">
        <f t="shared" si="25"/>
        <v>7419.6486000000004</v>
      </c>
    </row>
    <row r="130" spans="1:11" ht="25.5" customHeight="1" thickTop="1" thickBot="1">
      <c r="A130" s="65"/>
      <c r="B130" s="23"/>
      <c r="D130" s="139"/>
      <c r="E130" s="56" t="s">
        <v>6</v>
      </c>
      <c r="F130" s="180">
        <f t="shared" ref="F130:I130" si="26">SUM(F124:F129)</f>
        <v>49838.115600000005</v>
      </c>
      <c r="G130" s="180">
        <f t="shared" si="26"/>
        <v>1577.7216000000003</v>
      </c>
      <c r="H130" s="180">
        <f t="shared" si="26"/>
        <v>180</v>
      </c>
      <c r="I130" s="180">
        <f t="shared" si="26"/>
        <v>0</v>
      </c>
      <c r="J130" s="180">
        <f>SUM(J124:J129)</f>
        <v>0</v>
      </c>
      <c r="K130" s="180">
        <f>SUM(K124:K129)</f>
        <v>48440.394</v>
      </c>
    </row>
    <row r="131" spans="1:11" ht="25.5" customHeight="1" thickBot="1">
      <c r="A131" s="65"/>
      <c r="B131" s="23"/>
      <c r="D131" s="110"/>
      <c r="E131" s="177" t="s">
        <v>329</v>
      </c>
      <c r="F131" s="178">
        <f>F130-[1]MADRE!$H$185</f>
        <v>0</v>
      </c>
      <c r="G131" s="178">
        <f>G130-[1]MADRE!$I$185</f>
        <v>0</v>
      </c>
      <c r="H131" s="178">
        <f>H130-[5]MADRE!$J$194</f>
        <v>0</v>
      </c>
      <c r="I131" s="178">
        <f>I130-[2]MADRE!K$187</f>
        <v>0</v>
      </c>
      <c r="J131" s="178">
        <f>J130-[3]MADRE!$L$184</f>
        <v>0</v>
      </c>
      <c r="K131" s="178">
        <f>K130-[3]MADRE!$M$184</f>
        <v>0</v>
      </c>
    </row>
    <row r="132" spans="1:11" ht="15" customHeight="1">
      <c r="A132" s="60" t="s">
        <v>300</v>
      </c>
      <c r="B132" s="332"/>
      <c r="C132" s="141"/>
      <c r="D132" s="141"/>
      <c r="E132" s="220"/>
      <c r="F132" s="221"/>
      <c r="G132" s="221"/>
      <c r="H132" s="221"/>
      <c r="I132" s="221"/>
      <c r="J132" s="221"/>
      <c r="K132" s="221"/>
    </row>
    <row r="133" spans="1:11" ht="51" customHeight="1">
      <c r="A133" s="64" t="s">
        <v>619</v>
      </c>
      <c r="B133" s="35" t="s">
        <v>570</v>
      </c>
      <c r="C133" s="409" t="s">
        <v>319</v>
      </c>
      <c r="D133" s="142" t="s">
        <v>323</v>
      </c>
      <c r="E133" s="143" t="s">
        <v>331</v>
      </c>
      <c r="F133" s="176">
        <f>8000*1.05*1.05*1.05</f>
        <v>9261</v>
      </c>
      <c r="G133" s="176">
        <f>367*1.05*1.05*1.05</f>
        <v>424.84837500000009</v>
      </c>
      <c r="H133" s="200"/>
      <c r="I133" s="200"/>
      <c r="J133" s="200"/>
      <c r="K133" s="179">
        <f>F133-G133+H133+I133+J133</f>
        <v>8836.1516250000004</v>
      </c>
    </row>
    <row r="134" spans="1:11" ht="51" customHeight="1">
      <c r="A134" s="81" t="s">
        <v>232</v>
      </c>
      <c r="B134" s="36" t="s">
        <v>46</v>
      </c>
      <c r="C134" s="408" t="s">
        <v>319</v>
      </c>
      <c r="D134" s="117" t="s">
        <v>323</v>
      </c>
      <c r="E134" s="222" t="s">
        <v>185</v>
      </c>
      <c r="F134" s="171">
        <f>6019*1.05*1.05*1.05</f>
        <v>6967.7448750000003</v>
      </c>
      <c r="G134" s="171">
        <f>183*1.05*1.05*1.05</f>
        <v>211.84537500000002</v>
      </c>
      <c r="H134" s="204"/>
      <c r="I134" s="204"/>
      <c r="J134" s="400"/>
      <c r="K134" s="171">
        <f>F134-G134+H134+I134+J134</f>
        <v>6755.8995000000004</v>
      </c>
    </row>
    <row r="135" spans="1:11" ht="51" customHeight="1">
      <c r="A135" s="65" t="s">
        <v>243</v>
      </c>
      <c r="B135" s="23" t="s">
        <v>78</v>
      </c>
      <c r="C135" s="407" t="s">
        <v>319</v>
      </c>
      <c r="D135" s="117" t="s">
        <v>323</v>
      </c>
      <c r="E135" s="223" t="s">
        <v>238</v>
      </c>
      <c r="F135" s="171">
        <f>7215*1.05*1.05*1.05</f>
        <v>8352.2643750000007</v>
      </c>
      <c r="G135" s="171">
        <f>231*1.05*1.05</f>
        <v>254.67750000000001</v>
      </c>
      <c r="H135" s="171"/>
      <c r="I135" s="171"/>
      <c r="J135" s="400"/>
      <c r="K135" s="171">
        <f t="shared" ref="K135:K142" si="27">F135-G135+H135+I135+J135</f>
        <v>8097.5868750000009</v>
      </c>
    </row>
    <row r="136" spans="1:11" ht="51" customHeight="1">
      <c r="A136" s="65" t="s">
        <v>244</v>
      </c>
      <c r="B136" s="23" t="s">
        <v>79</v>
      </c>
      <c r="C136" s="409" t="s">
        <v>319</v>
      </c>
      <c r="D136" s="117" t="s">
        <v>323</v>
      </c>
      <c r="E136" s="168" t="s">
        <v>238</v>
      </c>
      <c r="F136" s="171">
        <f>6432*1.05*1.05*1.05</f>
        <v>7445.844000000001</v>
      </c>
      <c r="G136" s="171">
        <f>183*1.05*1.05*1.05</f>
        <v>211.84537500000002</v>
      </c>
      <c r="H136" s="171"/>
      <c r="I136" s="171"/>
      <c r="J136" s="400"/>
      <c r="K136" s="171">
        <f t="shared" si="27"/>
        <v>7233.9986250000011</v>
      </c>
    </row>
    <row r="137" spans="1:11" ht="51" customHeight="1">
      <c r="A137" s="63" t="s">
        <v>363</v>
      </c>
      <c r="B137" s="40" t="s">
        <v>364</v>
      </c>
      <c r="C137" s="40" t="s">
        <v>319</v>
      </c>
      <c r="D137" s="40" t="s">
        <v>323</v>
      </c>
      <c r="E137" s="225" t="s">
        <v>238</v>
      </c>
      <c r="F137" s="171">
        <f>5677*1.05*1.05*1.05</f>
        <v>6571.8371250000009</v>
      </c>
      <c r="G137" s="171">
        <f>157*1.05*1.05*1.05</f>
        <v>181.74712500000001</v>
      </c>
      <c r="H137" s="171"/>
      <c r="I137" s="171"/>
      <c r="J137" s="400"/>
      <c r="K137" s="171">
        <f t="shared" si="27"/>
        <v>6390.0900000000011</v>
      </c>
    </row>
    <row r="138" spans="1:11" ht="51" customHeight="1">
      <c r="A138" s="63" t="s">
        <v>450</v>
      </c>
      <c r="B138" s="40" t="s">
        <v>451</v>
      </c>
      <c r="C138" s="40" t="s">
        <v>319</v>
      </c>
      <c r="D138" s="40" t="s">
        <v>323</v>
      </c>
      <c r="E138" s="225" t="s">
        <v>238</v>
      </c>
      <c r="F138" s="171">
        <f>5677*1.05*1.05*1.05</f>
        <v>6571.8371250000009</v>
      </c>
      <c r="G138" s="171">
        <f>157*1.05*1.05*1.05</f>
        <v>181.74712500000001</v>
      </c>
      <c r="H138" s="171"/>
      <c r="I138" s="171"/>
      <c r="J138" s="400"/>
      <c r="K138" s="171">
        <f t="shared" si="27"/>
        <v>6390.0900000000011</v>
      </c>
    </row>
    <row r="139" spans="1:11" ht="51" customHeight="1">
      <c r="A139" s="63" t="s">
        <v>467</v>
      </c>
      <c r="B139" s="40" t="s">
        <v>468</v>
      </c>
      <c r="C139" s="40" t="s">
        <v>319</v>
      </c>
      <c r="D139" s="40" t="s">
        <v>469</v>
      </c>
      <c r="E139" s="225" t="s">
        <v>362</v>
      </c>
      <c r="F139" s="171">
        <f>5145*1.05*1.05*1.05</f>
        <v>5955.9806250000001</v>
      </c>
      <c r="G139" s="171">
        <f>157*1.05*1.05*1.05</f>
        <v>181.74712500000001</v>
      </c>
      <c r="H139" s="171"/>
      <c r="I139" s="171"/>
      <c r="J139" s="400"/>
      <c r="K139" s="171">
        <f t="shared" si="27"/>
        <v>5774.2335000000003</v>
      </c>
    </row>
    <row r="140" spans="1:11" ht="51" customHeight="1">
      <c r="A140" s="65" t="s">
        <v>473</v>
      </c>
      <c r="B140" s="40" t="s">
        <v>474</v>
      </c>
      <c r="C140" s="40" t="s">
        <v>489</v>
      </c>
      <c r="D140" s="40" t="s">
        <v>333</v>
      </c>
      <c r="E140" s="225" t="s">
        <v>238</v>
      </c>
      <c r="F140" s="171">
        <f>5145*1.05*1.05*1.05</f>
        <v>5955.9806250000001</v>
      </c>
      <c r="G140" s="171">
        <f>157*1.05*1.05*1.05</f>
        <v>181.74712500000001</v>
      </c>
      <c r="H140" s="171"/>
      <c r="I140" s="208"/>
      <c r="J140" s="400"/>
      <c r="K140" s="171">
        <f t="shared" si="27"/>
        <v>5774.2335000000003</v>
      </c>
    </row>
    <row r="141" spans="1:11" ht="51" customHeight="1">
      <c r="A141" s="65" t="s">
        <v>527</v>
      </c>
      <c r="B141" s="40"/>
      <c r="C141" s="40" t="s">
        <v>319</v>
      </c>
      <c r="D141" s="40" t="s">
        <v>333</v>
      </c>
      <c r="E141" s="225" t="s">
        <v>238</v>
      </c>
      <c r="F141" s="171">
        <f>5050*1.05*1.05*1.05</f>
        <v>5846.0062500000004</v>
      </c>
      <c r="G141" s="171">
        <f>140*1.05*1.05*1.05</f>
        <v>162.0675</v>
      </c>
      <c r="H141" s="186"/>
      <c r="I141" s="224"/>
      <c r="J141" s="400"/>
      <c r="K141" s="171">
        <f t="shared" si="27"/>
        <v>5683.9387500000003</v>
      </c>
    </row>
    <row r="142" spans="1:11" ht="51" customHeight="1" thickBot="1">
      <c r="A142" s="73" t="s">
        <v>181</v>
      </c>
      <c r="B142" s="36" t="s">
        <v>95</v>
      </c>
      <c r="C142" s="408" t="s">
        <v>319</v>
      </c>
      <c r="D142" s="144" t="s">
        <v>333</v>
      </c>
      <c r="E142" s="52" t="s">
        <v>542</v>
      </c>
      <c r="F142" s="275">
        <f>5545*1.05*1.05*1.05</f>
        <v>6419.0306250000003</v>
      </c>
      <c r="G142" s="275">
        <f>103.95*1.05*1.05</f>
        <v>114.60487500000001</v>
      </c>
      <c r="H142" s="304"/>
      <c r="I142" s="304">
        <v>126</v>
      </c>
      <c r="J142" s="436"/>
      <c r="K142" s="272">
        <f t="shared" si="27"/>
        <v>6430.4257500000003</v>
      </c>
    </row>
    <row r="143" spans="1:11" ht="25.5" customHeight="1" thickTop="1" thickBot="1">
      <c r="A143" s="82"/>
      <c r="B143" s="33"/>
      <c r="D143" s="23"/>
      <c r="E143" s="56" t="s">
        <v>6</v>
      </c>
      <c r="F143" s="181">
        <f t="shared" ref="F143:J143" si="28">SUM(F133:F142)</f>
        <v>69347.525625000009</v>
      </c>
      <c r="G143" s="181">
        <f t="shared" si="28"/>
        <v>2106.8775000000005</v>
      </c>
      <c r="H143" s="181">
        <f t="shared" si="28"/>
        <v>0</v>
      </c>
      <c r="I143" s="181">
        <f t="shared" si="28"/>
        <v>126</v>
      </c>
      <c r="J143" s="181">
        <f t="shared" si="28"/>
        <v>0</v>
      </c>
      <c r="K143" s="181">
        <f>SUM(K133:K142)</f>
        <v>67366.648125000007</v>
      </c>
    </row>
    <row r="144" spans="1:11" ht="25.5" customHeight="1" thickBot="1">
      <c r="A144" s="82"/>
      <c r="B144" s="33"/>
      <c r="D144" s="110"/>
      <c r="E144" s="174" t="s">
        <v>329</v>
      </c>
      <c r="F144" s="175">
        <f>F143-[1]MADRE!$H$198</f>
        <v>0</v>
      </c>
      <c r="G144" s="175">
        <f>G143-[1]MADRE!$I$198</f>
        <v>0</v>
      </c>
      <c r="H144" s="175">
        <f>H143-[2]MADRE!J$200</f>
        <v>0</v>
      </c>
      <c r="I144" s="175">
        <f>I143-[16]MADRE!$K$203</f>
        <v>0</v>
      </c>
      <c r="J144" s="175">
        <f>J143-[3]MADRE!$L$198</f>
        <v>0</v>
      </c>
      <c r="K144" s="432">
        <f>K143-[3]MADRE!$M$197</f>
        <v>0</v>
      </c>
    </row>
    <row r="145" spans="1:11" ht="15" customHeight="1">
      <c r="A145" s="26" t="s">
        <v>301</v>
      </c>
      <c r="B145" s="324"/>
      <c r="C145" s="109"/>
      <c r="D145" s="109"/>
      <c r="E145" s="29"/>
      <c r="F145" s="29"/>
      <c r="G145" s="29"/>
      <c r="H145" s="29"/>
      <c r="I145" s="29"/>
      <c r="J145" s="397"/>
      <c r="K145" s="29"/>
    </row>
    <row r="146" spans="1:11" ht="51" customHeight="1" thickBot="1">
      <c r="A146" s="65" t="s">
        <v>716</v>
      </c>
      <c r="B146" s="23" t="s">
        <v>717</v>
      </c>
      <c r="C146" s="40" t="s">
        <v>321</v>
      </c>
      <c r="D146" s="40" t="s">
        <v>333</v>
      </c>
      <c r="E146" s="39" t="s">
        <v>718</v>
      </c>
      <c r="F146" s="275">
        <f>3900</f>
        <v>3900</v>
      </c>
      <c r="G146" s="275"/>
      <c r="H146" s="275"/>
      <c r="I146" s="275"/>
      <c r="J146" s="295"/>
      <c r="K146" s="271">
        <f>F146-G146+H146+J146</f>
        <v>3900</v>
      </c>
    </row>
    <row r="147" spans="1:11" ht="25.5" customHeight="1" thickTop="1" thickBot="1">
      <c r="B147" s="33"/>
      <c r="D147" s="23"/>
      <c r="E147" s="56" t="s">
        <v>6</v>
      </c>
      <c r="F147" s="181">
        <f t="shared" ref="F147:J147" si="29">SUM(F146:F146)</f>
        <v>3900</v>
      </c>
      <c r="G147" s="181">
        <f t="shared" si="29"/>
        <v>0</v>
      </c>
      <c r="H147" s="181">
        <f t="shared" si="29"/>
        <v>0</v>
      </c>
      <c r="I147" s="181">
        <f t="shared" si="29"/>
        <v>0</v>
      </c>
      <c r="J147" s="181">
        <f t="shared" si="29"/>
        <v>0</v>
      </c>
      <c r="K147" s="181">
        <f>SUM(K146:K146)</f>
        <v>3900</v>
      </c>
    </row>
    <row r="148" spans="1:11" ht="25.5" customHeight="1" thickBot="1">
      <c r="B148" s="33"/>
      <c r="D148" s="110"/>
      <c r="E148" s="174" t="s">
        <v>329</v>
      </c>
      <c r="F148" s="190">
        <f>F147-[15]MADRE!$H$205</f>
        <v>0</v>
      </c>
      <c r="G148" s="190">
        <f>G147-[15]MADRE!$I$205</f>
        <v>0</v>
      </c>
      <c r="H148" s="190">
        <f>H147-[10]MADRE!$J$220</f>
        <v>0</v>
      </c>
      <c r="I148" s="190">
        <f>I147-[2]MADRE!K$216</f>
        <v>0</v>
      </c>
      <c r="J148" s="190">
        <f>J147-[1]MADRE!$L$207</f>
        <v>0</v>
      </c>
      <c r="K148" s="190">
        <f>K147-[15]MADRE!$M$205</f>
        <v>0</v>
      </c>
    </row>
    <row r="149" spans="1:11" ht="15" customHeight="1">
      <c r="A149" s="26" t="s">
        <v>302</v>
      </c>
      <c r="B149" s="324"/>
      <c r="C149" s="109"/>
      <c r="D149" s="109"/>
      <c r="E149" s="29"/>
      <c r="F149" s="29"/>
      <c r="G149" s="29"/>
      <c r="H149" s="29"/>
      <c r="I149" s="29"/>
      <c r="J149" s="397"/>
      <c r="K149" s="29"/>
    </row>
    <row r="150" spans="1:11" s="17" customFormat="1" ht="43.5" customHeight="1">
      <c r="A150" s="84" t="s">
        <v>497</v>
      </c>
      <c r="B150" s="287" t="s">
        <v>573</v>
      </c>
      <c r="C150" s="409" t="s">
        <v>319</v>
      </c>
      <c r="D150" s="46" t="s">
        <v>442</v>
      </c>
      <c r="E150" s="127" t="s">
        <v>634</v>
      </c>
      <c r="F150" s="179">
        <f>10038*1.04*1.05*1.05-6138.44</f>
        <v>5371.1308000000017</v>
      </c>
      <c r="G150" s="179">
        <f>441*1.04*1.05*1.05</f>
        <v>505.65060000000011</v>
      </c>
      <c r="H150" s="179"/>
      <c r="I150" s="179"/>
      <c r="J150" s="179"/>
      <c r="K150" s="179">
        <f>F150-G150+H150+J150</f>
        <v>4865.4802000000018</v>
      </c>
    </row>
    <row r="151" spans="1:11" ht="48.95" customHeight="1">
      <c r="A151" s="85" t="s">
        <v>159</v>
      </c>
      <c r="B151" s="334" t="s">
        <v>64</v>
      </c>
      <c r="C151" s="409" t="s">
        <v>319</v>
      </c>
      <c r="D151" s="38" t="s">
        <v>324</v>
      </c>
      <c r="E151" s="48" t="s">
        <v>399</v>
      </c>
      <c r="F151" s="204">
        <f>4668*1.05*1.05*1.05+1251</f>
        <v>6654.7935000000016</v>
      </c>
      <c r="G151" s="226"/>
      <c r="H151" s="227">
        <v>90</v>
      </c>
      <c r="I151" s="227"/>
      <c r="J151" s="171"/>
      <c r="K151" s="171">
        <f>F151-G151+H151+J151</f>
        <v>6744.7935000000016</v>
      </c>
    </row>
    <row r="152" spans="1:11" ht="48.95" customHeight="1">
      <c r="A152" s="86" t="s">
        <v>158</v>
      </c>
      <c r="B152" s="334" t="s">
        <v>61</v>
      </c>
      <c r="C152" s="409" t="s">
        <v>319</v>
      </c>
      <c r="D152" s="38" t="s">
        <v>324</v>
      </c>
      <c r="E152" s="229" t="s">
        <v>341</v>
      </c>
      <c r="F152" s="203">
        <f>5429*1.05*1.05*1.05</f>
        <v>6284.7461249999997</v>
      </c>
      <c r="G152" s="186"/>
      <c r="H152" s="314">
        <v>90</v>
      </c>
      <c r="I152" s="314"/>
      <c r="J152" s="171"/>
      <c r="K152" s="171">
        <f t="shared" ref="K152:K164" si="30">F152-G152+H152+J152</f>
        <v>6374.7461249999997</v>
      </c>
    </row>
    <row r="153" spans="1:11" ht="48.95" customHeight="1">
      <c r="A153" s="92" t="s">
        <v>157</v>
      </c>
      <c r="B153" s="47" t="s">
        <v>67</v>
      </c>
      <c r="C153" s="413" t="s">
        <v>319</v>
      </c>
      <c r="D153" s="37" t="s">
        <v>324</v>
      </c>
      <c r="E153" s="118" t="s">
        <v>342</v>
      </c>
      <c r="F153" s="183">
        <f>4075*1.05*1.05*1.05</f>
        <v>4717.3218750000005</v>
      </c>
      <c r="G153" s="186"/>
      <c r="H153" s="314">
        <v>150</v>
      </c>
      <c r="I153" s="314"/>
      <c r="J153" s="171"/>
      <c r="K153" s="171">
        <f t="shared" si="30"/>
        <v>4867.3218750000005</v>
      </c>
    </row>
    <row r="154" spans="1:11" ht="48.95" customHeight="1">
      <c r="A154" s="94" t="s">
        <v>156</v>
      </c>
      <c r="B154" s="335" t="s">
        <v>65</v>
      </c>
      <c r="C154" s="412" t="s">
        <v>319</v>
      </c>
      <c r="D154" s="37" t="s">
        <v>324</v>
      </c>
      <c r="E154" s="230" t="s">
        <v>343</v>
      </c>
      <c r="F154" s="183">
        <f>4075*1.05*1.05*1.05</f>
        <v>4717.3218750000005</v>
      </c>
      <c r="G154" s="239"/>
      <c r="H154" s="315">
        <v>150</v>
      </c>
      <c r="I154" s="315"/>
      <c r="J154" s="171"/>
      <c r="K154" s="171">
        <f t="shared" si="30"/>
        <v>4867.3218750000005</v>
      </c>
    </row>
    <row r="155" spans="1:11" ht="48.95" customHeight="1">
      <c r="A155" s="344" t="s">
        <v>161</v>
      </c>
      <c r="B155" s="345" t="s">
        <v>66</v>
      </c>
      <c r="C155" s="408" t="s">
        <v>319</v>
      </c>
      <c r="D155" s="346" t="s">
        <v>324</v>
      </c>
      <c r="E155" s="347" t="s">
        <v>344</v>
      </c>
      <c r="F155" s="348">
        <v>0</v>
      </c>
      <c r="G155" s="349"/>
      <c r="H155" s="350">
        <v>0</v>
      </c>
      <c r="I155" s="351"/>
      <c r="J155" s="171"/>
      <c r="K155" s="171">
        <f t="shared" si="30"/>
        <v>0</v>
      </c>
    </row>
    <row r="156" spans="1:11" ht="48.95" customHeight="1">
      <c r="A156" s="88" t="s">
        <v>160</v>
      </c>
      <c r="B156" s="48" t="s">
        <v>62</v>
      </c>
      <c r="C156" s="408" t="s">
        <v>319</v>
      </c>
      <c r="D156" s="53" t="s">
        <v>324</v>
      </c>
      <c r="E156" s="118" t="s">
        <v>345</v>
      </c>
      <c r="F156" s="183">
        <f>4075*1.05*1.05*1.05</f>
        <v>4717.3218750000005</v>
      </c>
      <c r="G156" s="183"/>
      <c r="H156" s="185">
        <v>142</v>
      </c>
      <c r="I156" s="314"/>
      <c r="J156" s="171"/>
      <c r="K156" s="171">
        <f t="shared" si="30"/>
        <v>4859.3218750000005</v>
      </c>
    </row>
    <row r="157" spans="1:11" ht="48.75" customHeight="1">
      <c r="A157" s="299" t="s">
        <v>162</v>
      </c>
      <c r="B157" s="39" t="s">
        <v>63</v>
      </c>
      <c r="C157" s="414" t="s">
        <v>319</v>
      </c>
      <c r="D157" s="146" t="s">
        <v>324</v>
      </c>
      <c r="E157" s="119" t="s">
        <v>345</v>
      </c>
      <c r="F157" s="183">
        <f>4075*1.05*1.05*1.05</f>
        <v>4717.3218750000005</v>
      </c>
      <c r="G157" s="172"/>
      <c r="H157" s="172">
        <v>142</v>
      </c>
      <c r="I157" s="172"/>
      <c r="J157" s="171"/>
      <c r="K157" s="171">
        <f t="shared" si="30"/>
        <v>4859.3218750000005</v>
      </c>
    </row>
    <row r="158" spans="1:11" ht="48.75" customHeight="1">
      <c r="A158" s="63" t="s">
        <v>403</v>
      </c>
      <c r="B158" s="39" t="s">
        <v>461</v>
      </c>
      <c r="C158" s="150" t="s">
        <v>321</v>
      </c>
      <c r="D158" s="23" t="s">
        <v>324</v>
      </c>
      <c r="E158" s="24" t="s">
        <v>459</v>
      </c>
      <c r="F158" s="171">
        <f>3885*1.05*1.05*1.05</f>
        <v>4497.373125000001</v>
      </c>
      <c r="G158" s="171"/>
      <c r="H158" s="172">
        <v>142</v>
      </c>
      <c r="I158" s="172"/>
      <c r="J158" s="171"/>
      <c r="K158" s="171">
        <f t="shared" si="30"/>
        <v>4639.373125000001</v>
      </c>
    </row>
    <row r="159" spans="1:11" ht="48.75" customHeight="1">
      <c r="A159" s="63" t="s">
        <v>404</v>
      </c>
      <c r="B159" s="39" t="s">
        <v>460</v>
      </c>
      <c r="C159" s="150" t="s">
        <v>319</v>
      </c>
      <c r="D159" s="23" t="s">
        <v>324</v>
      </c>
      <c r="E159" s="24" t="s">
        <v>459</v>
      </c>
      <c r="F159" s="171">
        <f>3885*1.05*1.05*1.05</f>
        <v>4497.373125000001</v>
      </c>
      <c r="G159" s="171"/>
      <c r="H159" s="172">
        <v>142</v>
      </c>
      <c r="I159" s="172"/>
      <c r="J159" s="171"/>
      <c r="K159" s="171">
        <f t="shared" si="30"/>
        <v>4639.373125000001</v>
      </c>
    </row>
    <row r="160" spans="1:11" ht="48.75" customHeight="1">
      <c r="A160" s="63" t="s">
        <v>437</v>
      </c>
      <c r="B160" s="39" t="s">
        <v>574</v>
      </c>
      <c r="C160" s="150" t="s">
        <v>319</v>
      </c>
      <c r="D160" s="23" t="s">
        <v>324</v>
      </c>
      <c r="E160" s="24" t="s">
        <v>459</v>
      </c>
      <c r="F160" s="171">
        <f>3885*1.05*1.05*1.05</f>
        <v>4497.373125000001</v>
      </c>
      <c r="G160" s="171"/>
      <c r="H160" s="172">
        <v>142</v>
      </c>
      <c r="I160" s="172"/>
      <c r="J160" s="171"/>
      <c r="K160" s="171">
        <f t="shared" si="30"/>
        <v>4639.373125000001</v>
      </c>
    </row>
    <row r="161" spans="1:11" ht="48.75" customHeight="1">
      <c r="A161" s="63" t="s">
        <v>454</v>
      </c>
      <c r="B161" s="39" t="s">
        <v>575</v>
      </c>
      <c r="C161" s="150" t="s">
        <v>319</v>
      </c>
      <c r="D161" s="23" t="s">
        <v>324</v>
      </c>
      <c r="E161" s="24" t="s">
        <v>459</v>
      </c>
      <c r="F161" s="171">
        <f>3885*1.05*1.05*1.05</f>
        <v>4497.373125000001</v>
      </c>
      <c r="G161" s="171"/>
      <c r="H161" s="172">
        <v>142</v>
      </c>
      <c r="I161" s="172"/>
      <c r="J161" s="171"/>
      <c r="K161" s="171">
        <f t="shared" si="30"/>
        <v>4639.373125000001</v>
      </c>
    </row>
    <row r="162" spans="1:11" ht="48.75" customHeight="1">
      <c r="A162" s="89" t="s">
        <v>429</v>
      </c>
      <c r="B162" s="39" t="s">
        <v>430</v>
      </c>
      <c r="C162" s="150" t="s">
        <v>319</v>
      </c>
      <c r="D162" s="23" t="s">
        <v>324</v>
      </c>
      <c r="E162" s="24" t="s">
        <v>472</v>
      </c>
      <c r="F162" s="171">
        <f>3885*1.05*1.05*1.05</f>
        <v>4497.373125000001</v>
      </c>
      <c r="G162" s="171"/>
      <c r="H162" s="172">
        <v>142</v>
      </c>
      <c r="I162" s="172"/>
      <c r="J162" s="171"/>
      <c r="K162" s="171">
        <f t="shared" si="30"/>
        <v>4639.373125000001</v>
      </c>
    </row>
    <row r="163" spans="1:11" s="4" customFormat="1" ht="51" customHeight="1">
      <c r="A163" s="89" t="s">
        <v>609</v>
      </c>
      <c r="B163" s="40"/>
      <c r="C163" s="414" t="s">
        <v>319</v>
      </c>
      <c r="D163" s="40" t="s">
        <v>324</v>
      </c>
      <c r="E163" s="24" t="s">
        <v>648</v>
      </c>
      <c r="F163" s="171">
        <f>5822.25*1.05*1.05</f>
        <v>6419.0306250000003</v>
      </c>
      <c r="G163" s="171">
        <f>103.95*1.05*1.05</f>
        <v>114.60487500000001</v>
      </c>
      <c r="H163" s="171"/>
      <c r="I163" s="171">
        <v>126</v>
      </c>
      <c r="J163" s="171"/>
      <c r="K163" s="171">
        <f>F163-G163+H163+J163+I163</f>
        <v>6430.4257500000003</v>
      </c>
    </row>
    <row r="164" spans="1:11" ht="48.75" customHeight="1" thickBot="1">
      <c r="A164" s="89" t="s">
        <v>498</v>
      </c>
      <c r="B164" s="39" t="s">
        <v>576</v>
      </c>
      <c r="C164" s="150" t="s">
        <v>319</v>
      </c>
      <c r="D164" s="23" t="s">
        <v>324</v>
      </c>
      <c r="E164" s="24" t="s">
        <v>685</v>
      </c>
      <c r="F164" s="171">
        <f>3885*1.05*1.05*1.05</f>
        <v>4497.373125000001</v>
      </c>
      <c r="G164" s="171"/>
      <c r="H164" s="172">
        <v>142</v>
      </c>
      <c r="I164" s="172"/>
      <c r="J164" s="171"/>
      <c r="K164" s="171">
        <f t="shared" si="30"/>
        <v>4639.373125000001</v>
      </c>
    </row>
    <row r="165" spans="1:11" ht="25.5" customHeight="1" thickTop="1" thickBot="1">
      <c r="A165" s="90"/>
      <c r="B165" s="33"/>
      <c r="D165" s="23"/>
      <c r="E165" s="56" t="s">
        <v>6</v>
      </c>
      <c r="F165" s="180">
        <f t="shared" ref="F165:J165" si="31">SUM(F150:F164)</f>
        <v>70583.227299999999</v>
      </c>
      <c r="G165" s="180">
        <f t="shared" si="31"/>
        <v>620.25547500000016</v>
      </c>
      <c r="H165" s="180">
        <f t="shared" si="31"/>
        <v>1616</v>
      </c>
      <c r="I165" s="180">
        <f t="shared" si="31"/>
        <v>126</v>
      </c>
      <c r="J165" s="180">
        <f t="shared" si="31"/>
        <v>0</v>
      </c>
      <c r="K165" s="180">
        <f>SUM(K150:K164)</f>
        <v>71704.971825000001</v>
      </c>
    </row>
    <row r="166" spans="1:11" ht="25.5" customHeight="1" thickBot="1">
      <c r="A166" s="90"/>
      <c r="B166" s="33"/>
      <c r="D166" s="110"/>
      <c r="E166" s="174" t="s">
        <v>329</v>
      </c>
      <c r="F166" s="175">
        <f>F165-[3]MADRE!$H$226</f>
        <v>0</v>
      </c>
      <c r="G166" s="175">
        <f>G165-[1]MADRE!$I$228</f>
        <v>0</v>
      </c>
      <c r="H166" s="175">
        <f>H165-[19]MADRE!$J$237</f>
        <v>0</v>
      </c>
      <c r="I166" s="175">
        <f>I165-[20]MADRE!$K$239</f>
        <v>0</v>
      </c>
      <c r="J166" s="175">
        <f>J165-[3]MADRE!$L$226</f>
        <v>0</v>
      </c>
      <c r="K166" s="175">
        <f>K165-[3]MADRE!$M$226</f>
        <v>0</v>
      </c>
    </row>
    <row r="167" spans="1:11" ht="15" customHeight="1">
      <c r="A167" s="26" t="s">
        <v>303</v>
      </c>
      <c r="B167" s="324"/>
      <c r="C167" s="109"/>
      <c r="D167" s="109"/>
      <c r="E167" s="29"/>
      <c r="F167" s="29"/>
      <c r="G167" s="29"/>
      <c r="H167" s="29"/>
      <c r="I167" s="29"/>
      <c r="J167" s="397"/>
      <c r="K167" s="29"/>
    </row>
    <row r="168" spans="1:11" ht="51" customHeight="1">
      <c r="A168" s="65" t="s">
        <v>138</v>
      </c>
      <c r="B168" s="24" t="s">
        <v>578</v>
      </c>
      <c r="C168" s="409" t="s">
        <v>319</v>
      </c>
      <c r="D168" s="147" t="s">
        <v>323</v>
      </c>
      <c r="E168" s="48" t="s">
        <v>140</v>
      </c>
      <c r="F168" s="171">
        <f>4790*1.04*1.05*1.05</f>
        <v>5492.2140000000009</v>
      </c>
      <c r="G168" s="171"/>
      <c r="H168" s="171">
        <v>90</v>
      </c>
      <c r="I168" s="171"/>
      <c r="J168" s="173"/>
      <c r="K168" s="171">
        <f>F168-G168+H168+J168</f>
        <v>5582.2140000000009</v>
      </c>
    </row>
    <row r="169" spans="1:11" ht="51" customHeight="1">
      <c r="A169" s="73" t="s">
        <v>133</v>
      </c>
      <c r="B169" s="37" t="s">
        <v>21</v>
      </c>
      <c r="C169" s="408" t="s">
        <v>319</v>
      </c>
      <c r="D169" s="36" t="s">
        <v>333</v>
      </c>
      <c r="E169" s="149" t="s">
        <v>678</v>
      </c>
      <c r="F169" s="172">
        <f>6928*1.04*1.05*1.05</f>
        <v>7943.6448000000009</v>
      </c>
      <c r="G169" s="172">
        <f>220*1.04*1.05*1.05</f>
        <v>252.25200000000001</v>
      </c>
      <c r="H169" s="185"/>
      <c r="I169" s="185"/>
      <c r="J169" s="173"/>
      <c r="K169" s="171">
        <f t="shared" ref="K169:K170" si="32">F169-G169+H169+J169</f>
        <v>7691.3928000000005</v>
      </c>
    </row>
    <row r="170" spans="1:11" ht="51" customHeight="1" thickBot="1">
      <c r="A170" s="65" t="s">
        <v>143</v>
      </c>
      <c r="B170" s="24" t="s">
        <v>72</v>
      </c>
      <c r="C170" s="407" t="s">
        <v>319</v>
      </c>
      <c r="D170" s="117" t="s">
        <v>323</v>
      </c>
      <c r="E170" s="53" t="s">
        <v>145</v>
      </c>
      <c r="F170" s="171">
        <f>3185*1.05*1.05*1.05</f>
        <v>3687.0356250000004</v>
      </c>
      <c r="G170" s="171"/>
      <c r="H170" s="171">
        <v>142</v>
      </c>
      <c r="I170" s="171"/>
      <c r="J170" s="173"/>
      <c r="K170" s="171">
        <f t="shared" si="32"/>
        <v>3829.0356250000004</v>
      </c>
    </row>
    <row r="171" spans="1:11" ht="25.5" customHeight="1" thickTop="1" thickBot="1">
      <c r="A171" s="90"/>
      <c r="B171" s="33"/>
      <c r="D171" s="23"/>
      <c r="E171" s="56" t="s">
        <v>6</v>
      </c>
      <c r="F171" s="180">
        <f t="shared" ref="F171:J171" si="33">SUM(F168:F170)</f>
        <v>17122.894425000002</v>
      </c>
      <c r="G171" s="180">
        <f t="shared" si="33"/>
        <v>252.25200000000001</v>
      </c>
      <c r="H171" s="180">
        <f t="shared" si="33"/>
        <v>232</v>
      </c>
      <c r="I171" s="180">
        <f t="shared" si="33"/>
        <v>0</v>
      </c>
      <c r="J171" s="180">
        <f t="shared" si="33"/>
        <v>0</v>
      </c>
      <c r="K171" s="180">
        <f>SUM(K168:K170)</f>
        <v>17102.642425000002</v>
      </c>
    </row>
    <row r="172" spans="1:11" ht="25.5" customHeight="1" thickBot="1">
      <c r="A172" s="90"/>
      <c r="B172" s="33"/>
      <c r="D172" s="110"/>
      <c r="E172" s="174" t="s">
        <v>329</v>
      </c>
      <c r="F172" s="178">
        <f>F171-[21]MADRE!$H$237</f>
        <v>0</v>
      </c>
      <c r="G172" s="178">
        <f>G171-[21]MADRE!$I$237</f>
        <v>0</v>
      </c>
      <c r="H172" s="178">
        <f>H171-[10]MADRE!$J$249</f>
        <v>0</v>
      </c>
      <c r="I172" s="178"/>
      <c r="J172" s="178">
        <f>J171-[3]MADRE!$L$235</f>
        <v>0</v>
      </c>
      <c r="K172" s="178">
        <f>K171-[3]MADRE!$M$235</f>
        <v>0</v>
      </c>
    </row>
    <row r="173" spans="1:11" ht="15" customHeight="1">
      <c r="A173" s="26" t="s">
        <v>304</v>
      </c>
      <c r="B173" s="324"/>
      <c r="C173" s="109"/>
      <c r="D173" s="109"/>
      <c r="E173" s="29"/>
      <c r="F173" s="69"/>
      <c r="G173" s="34"/>
      <c r="H173" s="34"/>
      <c r="I173" s="34"/>
      <c r="J173" s="434"/>
      <c r="K173" s="34"/>
    </row>
    <row r="174" spans="1:11" ht="51" customHeight="1">
      <c r="A174" s="68" t="s">
        <v>500</v>
      </c>
      <c r="B174" s="35" t="s">
        <v>579</v>
      </c>
      <c r="C174" s="409" t="s">
        <v>319</v>
      </c>
      <c r="D174" s="148" t="s">
        <v>323</v>
      </c>
      <c r="E174" s="231" t="s">
        <v>411</v>
      </c>
      <c r="F174" s="179">
        <f>10038*1.04*1.05*1.05</f>
        <v>11509.570800000001</v>
      </c>
      <c r="G174" s="179">
        <f>441*1.04*1.05*1.05</f>
        <v>505.65060000000011</v>
      </c>
      <c r="H174" s="232"/>
      <c r="I174" s="232"/>
      <c r="J174" s="173"/>
      <c r="K174" s="199">
        <f>F174-G174+J174</f>
        <v>11003.9202</v>
      </c>
    </row>
    <row r="175" spans="1:11" ht="51" customHeight="1">
      <c r="A175" s="63" t="s">
        <v>462</v>
      </c>
      <c r="B175" s="24" t="s">
        <v>580</v>
      </c>
      <c r="C175" s="409" t="s">
        <v>319</v>
      </c>
      <c r="D175" s="40" t="s">
        <v>333</v>
      </c>
      <c r="E175" s="39" t="s">
        <v>535</v>
      </c>
      <c r="F175" s="171">
        <f>3100*1.04*1.05*1.05</f>
        <v>3554.4600000000005</v>
      </c>
      <c r="G175" s="171"/>
      <c r="H175" s="171">
        <v>90</v>
      </c>
      <c r="I175" s="171"/>
      <c r="J175" s="173"/>
      <c r="K175" s="189">
        <f>F175-G175+J175+H175</f>
        <v>3644.4600000000005</v>
      </c>
    </row>
    <row r="176" spans="1:11" ht="51" customHeight="1" thickBot="1">
      <c r="A176" s="65" t="s">
        <v>163</v>
      </c>
      <c r="B176" s="24" t="s">
        <v>120</v>
      </c>
      <c r="C176" s="409" t="s">
        <v>319</v>
      </c>
      <c r="D176" s="40" t="s">
        <v>323</v>
      </c>
      <c r="E176" s="40" t="s">
        <v>351</v>
      </c>
      <c r="F176" s="233">
        <f>5247*1.04*1.05*1.05</f>
        <v>6016.2102000000004</v>
      </c>
      <c r="G176" s="233"/>
      <c r="H176" s="233">
        <v>90</v>
      </c>
      <c r="I176" s="272"/>
      <c r="J176" s="402"/>
      <c r="K176" s="234">
        <f>F176-G176+J176+H176</f>
        <v>6106.2102000000004</v>
      </c>
    </row>
    <row r="177" spans="1:11" ht="25.5" customHeight="1" thickTop="1" thickBot="1">
      <c r="B177" s="33"/>
      <c r="D177" s="23"/>
      <c r="E177" s="56" t="s">
        <v>6</v>
      </c>
      <c r="F177" s="173">
        <f t="shared" ref="F177:J177" si="34">SUM(F174:F176)</f>
        <v>21080.241000000002</v>
      </c>
      <c r="G177" s="173">
        <f t="shared" si="34"/>
        <v>505.65060000000011</v>
      </c>
      <c r="H177" s="173">
        <f t="shared" si="34"/>
        <v>180</v>
      </c>
      <c r="I177" s="173">
        <f t="shared" si="34"/>
        <v>0</v>
      </c>
      <c r="J177" s="173">
        <f t="shared" si="34"/>
        <v>0</v>
      </c>
      <c r="K177" s="173">
        <f>SUM(K174:K176)</f>
        <v>20754.590400000001</v>
      </c>
    </row>
    <row r="178" spans="1:11" ht="25.5" customHeight="1" thickBot="1">
      <c r="B178" s="33"/>
      <c r="D178" s="110"/>
      <c r="E178" s="174" t="s">
        <v>329</v>
      </c>
      <c r="F178" s="175">
        <f>F177-[1]MADRE!$H$247</f>
        <v>0</v>
      </c>
      <c r="G178" s="175">
        <f>G177-[1]MADRE!$I$247</f>
        <v>0</v>
      </c>
      <c r="H178" s="175">
        <f>H177-[16]MADRE!$J$262</f>
        <v>0</v>
      </c>
      <c r="I178" s="175">
        <f>I177-[2]MADRE!K$256</f>
        <v>0</v>
      </c>
      <c r="J178" s="175">
        <f>J177-[3]MADRE!$L$244</f>
        <v>0</v>
      </c>
      <c r="K178" s="175">
        <f>K177-[3]MADRE!$M$244</f>
        <v>0</v>
      </c>
    </row>
    <row r="179" spans="1:11" ht="15" customHeight="1">
      <c r="A179" s="359" t="s">
        <v>305</v>
      </c>
      <c r="B179" s="324"/>
      <c r="C179" s="109"/>
      <c r="D179" s="109"/>
      <c r="E179" s="29"/>
      <c r="F179" s="29"/>
      <c r="G179" s="69"/>
      <c r="H179" s="34"/>
      <c r="I179" s="34"/>
      <c r="J179" s="434"/>
      <c r="K179" s="34"/>
    </row>
    <row r="180" spans="1:11" ht="51" customHeight="1">
      <c r="A180" s="68" t="s">
        <v>361</v>
      </c>
      <c r="B180" s="35" t="s">
        <v>373</v>
      </c>
      <c r="C180" s="40" t="s">
        <v>319</v>
      </c>
      <c r="D180" s="32" t="s">
        <v>324</v>
      </c>
      <c r="E180" s="32" t="s">
        <v>400</v>
      </c>
      <c r="F180" s="179">
        <f>10451*1.04*1.05*1.05</f>
        <v>11983.116600000003</v>
      </c>
      <c r="G180" s="179">
        <f>441*1.04*1.05*1.05</f>
        <v>505.65060000000011</v>
      </c>
      <c r="H180" s="179"/>
      <c r="I180" s="179"/>
      <c r="J180" s="179"/>
      <c r="K180" s="179">
        <f>F180-G180+J180</f>
        <v>11477.466000000002</v>
      </c>
    </row>
    <row r="181" spans="1:11" ht="51" customHeight="1">
      <c r="A181" s="305" t="s">
        <v>695</v>
      </c>
      <c r="B181" s="330" t="s">
        <v>696</v>
      </c>
      <c r="C181" s="40" t="s">
        <v>319</v>
      </c>
      <c r="D181" s="40" t="s">
        <v>324</v>
      </c>
      <c r="E181" s="40" t="s">
        <v>697</v>
      </c>
      <c r="F181" s="171">
        <f>5341.35*1.05</f>
        <v>5608.4175000000005</v>
      </c>
      <c r="G181" s="171">
        <f>154*1.05</f>
        <v>161.70000000000002</v>
      </c>
      <c r="H181" s="171"/>
      <c r="I181" s="171"/>
      <c r="J181" s="181"/>
      <c r="K181" s="171">
        <f>F181-G181+J181</f>
        <v>5446.7175000000007</v>
      </c>
    </row>
    <row r="182" spans="1:11" ht="51" customHeight="1" thickBot="1">
      <c r="A182" s="83" t="s">
        <v>167</v>
      </c>
      <c r="B182" s="45" t="s">
        <v>84</v>
      </c>
      <c r="C182" s="413" t="s">
        <v>319</v>
      </c>
      <c r="D182" s="45" t="s">
        <v>324</v>
      </c>
      <c r="E182" s="387" t="s">
        <v>164</v>
      </c>
      <c r="F182" s="275">
        <f>7458*1.05*1.05*1.05</f>
        <v>8633.5672500000019</v>
      </c>
      <c r="G182" s="275">
        <f>367*1.05*1.05*1.05</f>
        <v>424.84837500000009</v>
      </c>
      <c r="H182" s="275"/>
      <c r="I182" s="272">
        <v>280</v>
      </c>
      <c r="J182" s="402"/>
      <c r="K182" s="272">
        <f>F182-G182+J182+I182</f>
        <v>8488.7188750000023</v>
      </c>
    </row>
    <row r="183" spans="1:11" ht="25.5" customHeight="1" thickTop="1" thickBot="1">
      <c r="A183" s="63"/>
      <c r="B183" s="45"/>
      <c r="D183" s="40"/>
      <c r="E183" s="161" t="s">
        <v>6</v>
      </c>
      <c r="F183" s="181">
        <f>SUM(F180:F182)</f>
        <v>26225.101350000004</v>
      </c>
      <c r="G183" s="181">
        <f t="shared" ref="G183:J183" si="35">SUM(G180:G182)</f>
        <v>1092.1989750000002</v>
      </c>
      <c r="H183" s="181">
        <f t="shared" si="35"/>
        <v>0</v>
      </c>
      <c r="I183" s="181">
        <f t="shared" si="35"/>
        <v>280</v>
      </c>
      <c r="J183" s="181">
        <f t="shared" si="35"/>
        <v>0</v>
      </c>
      <c r="K183" s="181">
        <f>SUM(K180:K182)</f>
        <v>25412.902375000005</v>
      </c>
    </row>
    <row r="184" spans="1:11" ht="25.5" customHeight="1" thickBot="1">
      <c r="A184" s="63"/>
      <c r="B184" s="23"/>
      <c r="D184" s="110"/>
      <c r="E184" s="174" t="s">
        <v>329</v>
      </c>
      <c r="F184" s="175">
        <f>F183-[1]MADRE!$H$257</f>
        <v>0</v>
      </c>
      <c r="G184" s="175">
        <f>G183-[1]MADRE!$I$257</f>
        <v>0</v>
      </c>
      <c r="H184" s="175">
        <f>H183-[17]MADRE!$J$266</f>
        <v>0</v>
      </c>
      <c r="I184" s="175">
        <f>I183-[17]MADRE!$K$266</f>
        <v>0</v>
      </c>
      <c r="J184" s="175">
        <f>J183-[3]MADRE!$L$254</f>
        <v>0</v>
      </c>
      <c r="K184" s="175">
        <f>K183-[3]MADRE!$M$254</f>
        <v>0</v>
      </c>
    </row>
    <row r="185" spans="1:11" ht="14.25" customHeight="1">
      <c r="A185" s="358" t="s">
        <v>325</v>
      </c>
      <c r="B185" s="336"/>
      <c r="C185" s="141"/>
      <c r="D185" s="141"/>
      <c r="E185" s="141"/>
      <c r="F185" s="235"/>
      <c r="G185" s="235"/>
      <c r="H185" s="235"/>
      <c r="I185" s="235"/>
      <c r="J185" s="437"/>
      <c r="K185" s="235"/>
    </row>
    <row r="187" spans="1:11" s="17" customFormat="1" ht="51" customHeight="1">
      <c r="A187" s="88" t="s">
        <v>172</v>
      </c>
      <c r="B187" s="36" t="s">
        <v>87</v>
      </c>
      <c r="C187" s="36" t="s">
        <v>319</v>
      </c>
      <c r="D187" s="53" t="s">
        <v>324</v>
      </c>
      <c r="E187" s="53" t="s">
        <v>168</v>
      </c>
      <c r="F187" s="171">
        <f>6498*1.05*1.05*1.05</f>
        <v>7522.2472500000013</v>
      </c>
      <c r="G187" s="171">
        <f>220*1.05*1.05*1.05</f>
        <v>254.67750000000001</v>
      </c>
      <c r="H187" s="186"/>
      <c r="I187" s="183">
        <v>175</v>
      </c>
      <c r="J187" s="181"/>
      <c r="K187" s="171">
        <f>F187-G187+H187+I187+J187</f>
        <v>7442.5697500000015</v>
      </c>
    </row>
    <row r="188" spans="1:11" ht="51" customHeight="1">
      <c r="A188" s="78" t="s">
        <v>173</v>
      </c>
      <c r="B188" s="23" t="s">
        <v>88</v>
      </c>
      <c r="C188" s="40" t="s">
        <v>319</v>
      </c>
      <c r="D188" s="146" t="s">
        <v>324</v>
      </c>
      <c r="E188" s="53" t="s">
        <v>168</v>
      </c>
      <c r="F188" s="171">
        <f>6498*1.05*1.05*1.05</f>
        <v>7522.2472500000013</v>
      </c>
      <c r="G188" s="171">
        <f>220*1.05*1.05*1.05</f>
        <v>254.67750000000001</v>
      </c>
      <c r="H188" s="184"/>
      <c r="I188" s="183">
        <v>175</v>
      </c>
      <c r="J188" s="181"/>
      <c r="K188" s="171">
        <f>F188-G188+H188+I188+J188</f>
        <v>7442.5697500000015</v>
      </c>
    </row>
    <row r="189" spans="1:11" s="4" customFormat="1" ht="51" customHeight="1">
      <c r="A189" s="89" t="s">
        <v>455</v>
      </c>
      <c r="B189" s="23" t="s">
        <v>456</v>
      </c>
      <c r="C189" s="40" t="s">
        <v>319</v>
      </c>
      <c r="D189" s="40" t="s">
        <v>324</v>
      </c>
      <c r="E189" s="53" t="s">
        <v>168</v>
      </c>
      <c r="F189" s="171">
        <f>6498*1.05*1.05*1.05</f>
        <v>7522.2472500000013</v>
      </c>
      <c r="G189" s="171">
        <f>220*1.05*1.05*1.05</f>
        <v>254.67750000000001</v>
      </c>
      <c r="H189" s="171"/>
      <c r="I189" s="183">
        <v>175</v>
      </c>
      <c r="J189" s="181"/>
      <c r="K189" s="228">
        <f>F189-G189+H189+I189+J189</f>
        <v>7442.5697500000015</v>
      </c>
    </row>
    <row r="190" spans="1:11" s="17" customFormat="1" ht="51" customHeight="1" thickBot="1">
      <c r="A190" s="63" t="s">
        <v>384</v>
      </c>
      <c r="B190" s="23" t="s">
        <v>368</v>
      </c>
      <c r="C190" s="40" t="s">
        <v>321</v>
      </c>
      <c r="D190" s="40" t="s">
        <v>324</v>
      </c>
      <c r="E190" s="40" t="s">
        <v>168</v>
      </c>
      <c r="F190" s="171">
        <f>6498*1.05*1.05*1.05</f>
        <v>7522.2472500000013</v>
      </c>
      <c r="G190" s="171">
        <f>220*1.05*1.05*1.05</f>
        <v>254.67750000000001</v>
      </c>
      <c r="H190" s="171"/>
      <c r="I190" s="171">
        <v>175</v>
      </c>
      <c r="J190" s="181"/>
      <c r="K190" s="171">
        <f>F190-G190+H190+I190+J190</f>
        <v>7442.5697500000015</v>
      </c>
    </row>
    <row r="191" spans="1:11" ht="25.5" customHeight="1" thickTop="1" thickBot="1">
      <c r="A191" s="63"/>
      <c r="B191" s="23"/>
      <c r="D191" s="40"/>
      <c r="E191" s="161" t="s">
        <v>6</v>
      </c>
      <c r="F191" s="180">
        <f>SUM(F186:F190)</f>
        <v>30088.989000000005</v>
      </c>
      <c r="G191" s="180">
        <f t="shared" ref="G191:J191" si="36">SUM(G186:G190)</f>
        <v>1018.71</v>
      </c>
      <c r="H191" s="180">
        <f>SUM(H186:H190)</f>
        <v>0</v>
      </c>
      <c r="I191" s="180">
        <f t="shared" si="36"/>
        <v>700</v>
      </c>
      <c r="J191" s="180">
        <f t="shared" si="36"/>
        <v>0</v>
      </c>
      <c r="K191" s="180">
        <f>SUM(K186:K190)</f>
        <v>29770.279000000006</v>
      </c>
    </row>
    <row r="192" spans="1:11" ht="25.5" customHeight="1" thickBot="1">
      <c r="A192" s="63"/>
      <c r="B192" s="23"/>
      <c r="D192" s="110"/>
      <c r="E192" s="174" t="s">
        <v>329</v>
      </c>
      <c r="F192" s="175">
        <f>F191-[1]MADRE!$H$264</f>
        <v>0</v>
      </c>
      <c r="G192" s="175">
        <f>G191-[1]MADRE!$I$264</f>
        <v>0</v>
      </c>
      <c r="H192" s="175">
        <f>H191-[17]MADRE!$J$275</f>
        <v>0</v>
      </c>
      <c r="I192" s="175">
        <f>I191-[22]MADRE!$K$271</f>
        <v>0</v>
      </c>
      <c r="J192" s="175">
        <f>J191-[3]MADRE!$L$261</f>
        <v>0</v>
      </c>
      <c r="K192" s="175">
        <v>0</v>
      </c>
    </row>
    <row r="193" spans="1:11" ht="14.25" customHeight="1">
      <c r="A193" s="360" t="s">
        <v>326</v>
      </c>
      <c r="B193" s="23"/>
      <c r="C193" s="150"/>
      <c r="D193" s="150"/>
      <c r="E193" s="236"/>
      <c r="F193" s="237"/>
      <c r="G193" s="237"/>
      <c r="H193" s="237"/>
      <c r="I193" s="237"/>
      <c r="J193" s="181"/>
      <c r="K193" s="237"/>
    </row>
    <row r="194" spans="1:11" ht="51" customHeight="1">
      <c r="A194" s="63" t="s">
        <v>169</v>
      </c>
      <c r="B194" s="23" t="s">
        <v>85</v>
      </c>
      <c r="C194" s="415" t="s">
        <v>319</v>
      </c>
      <c r="D194" s="40" t="s">
        <v>324</v>
      </c>
      <c r="E194" s="40" t="s">
        <v>171</v>
      </c>
      <c r="F194" s="171">
        <f>6720.84*1.05</f>
        <v>7056.8820000000005</v>
      </c>
      <c r="G194" s="171">
        <f>201.76*1.05</f>
        <v>211.84800000000001</v>
      </c>
      <c r="H194" s="171"/>
      <c r="I194" s="171">
        <v>153</v>
      </c>
      <c r="J194" s="181"/>
      <c r="K194" s="171">
        <f>F194-G194+I194+J194</f>
        <v>6998.0340000000006</v>
      </c>
    </row>
    <row r="195" spans="1:11" ht="51" customHeight="1">
      <c r="A195" s="94" t="s">
        <v>357</v>
      </c>
      <c r="B195" s="294" t="s">
        <v>86</v>
      </c>
      <c r="C195" s="412" t="s">
        <v>319</v>
      </c>
      <c r="D195" s="54" t="s">
        <v>324</v>
      </c>
      <c r="E195" s="54" t="s">
        <v>171</v>
      </c>
      <c r="F195" s="171">
        <f>6096*1.05*1.05*1.05</f>
        <v>7056.8820000000005</v>
      </c>
      <c r="G195" s="171">
        <f>183*1.05*1.05*1.05</f>
        <v>211.84537500000002</v>
      </c>
      <c r="H195" s="239"/>
      <c r="I195" s="205">
        <v>153</v>
      </c>
      <c r="J195" s="181"/>
      <c r="K195" s="171">
        <f t="shared" ref="K195:K202" si="37">F195-G195+I195+J195</f>
        <v>6998.0366250000006</v>
      </c>
    </row>
    <row r="196" spans="1:11" ht="51" customHeight="1">
      <c r="A196" s="88" t="s">
        <v>174</v>
      </c>
      <c r="B196" s="36" t="s">
        <v>89</v>
      </c>
      <c r="C196" s="408" t="s">
        <v>319</v>
      </c>
      <c r="D196" s="53" t="s">
        <v>324</v>
      </c>
      <c r="E196" s="53" t="s">
        <v>171</v>
      </c>
      <c r="F196" s="171">
        <f>6096*1.05*1.05*1.05</f>
        <v>7056.8820000000005</v>
      </c>
      <c r="G196" s="171">
        <f>183*1.05*1.05*1.05</f>
        <v>211.84537500000002</v>
      </c>
      <c r="H196" s="186"/>
      <c r="I196" s="183">
        <v>153</v>
      </c>
      <c r="J196" s="181"/>
      <c r="K196" s="171">
        <f t="shared" si="37"/>
        <v>6998.0366250000006</v>
      </c>
    </row>
    <row r="197" spans="1:11" s="17" customFormat="1" ht="51" customHeight="1">
      <c r="A197" s="63" t="s">
        <v>170</v>
      </c>
      <c r="B197" s="24" t="s">
        <v>581</v>
      </c>
      <c r="C197" s="40" t="s">
        <v>319</v>
      </c>
      <c r="D197" s="23" t="s">
        <v>324</v>
      </c>
      <c r="E197" s="40" t="s">
        <v>171</v>
      </c>
      <c r="F197" s="171">
        <f>6822.9*1.05*1.05</f>
        <v>7522.2472500000003</v>
      </c>
      <c r="G197" s="171">
        <f>231*1.05*1.05</f>
        <v>254.67750000000001</v>
      </c>
      <c r="H197" s="171"/>
      <c r="I197" s="171">
        <v>175</v>
      </c>
      <c r="J197" s="181"/>
      <c r="K197" s="171">
        <f t="shared" si="37"/>
        <v>7442.5697500000006</v>
      </c>
    </row>
    <row r="198" spans="1:11" ht="51" customHeight="1">
      <c r="A198" s="89" t="s">
        <v>421</v>
      </c>
      <c r="B198" s="39" t="s">
        <v>422</v>
      </c>
      <c r="C198" s="40" t="s">
        <v>319</v>
      </c>
      <c r="D198" s="23" t="s">
        <v>324</v>
      </c>
      <c r="E198" s="40" t="s">
        <v>171</v>
      </c>
      <c r="F198" s="171">
        <f>6400.8*1.05*1.05</f>
        <v>7056.8820000000005</v>
      </c>
      <c r="G198" s="171">
        <f>201.76*1.05</f>
        <v>211.84800000000001</v>
      </c>
      <c r="H198" s="240"/>
      <c r="I198" s="171">
        <v>153</v>
      </c>
      <c r="J198" s="181"/>
      <c r="K198" s="171">
        <f t="shared" si="37"/>
        <v>6998.0340000000006</v>
      </c>
    </row>
    <row r="199" spans="1:11" s="4" customFormat="1" ht="51" customHeight="1">
      <c r="A199" s="89" t="s">
        <v>639</v>
      </c>
      <c r="B199" s="23" t="s">
        <v>640</v>
      </c>
      <c r="C199" s="40" t="s">
        <v>321</v>
      </c>
      <c r="D199" s="40" t="s">
        <v>324</v>
      </c>
      <c r="E199" s="40" t="s">
        <v>171</v>
      </c>
      <c r="F199" s="171">
        <f>6400.8*1.05*1.05</f>
        <v>7056.8820000000005</v>
      </c>
      <c r="G199" s="171">
        <f>201.76*1.05</f>
        <v>211.84800000000001</v>
      </c>
      <c r="H199" s="171"/>
      <c r="I199" s="171">
        <v>153</v>
      </c>
      <c r="J199" s="181"/>
      <c r="K199" s="171">
        <f t="shared" si="37"/>
        <v>6998.0340000000006</v>
      </c>
    </row>
    <row r="200" spans="1:11" s="4" customFormat="1" ht="51" customHeight="1">
      <c r="A200" s="89" t="s">
        <v>679</v>
      </c>
      <c r="B200" s="23" t="s">
        <v>694</v>
      </c>
      <c r="C200" s="40" t="s">
        <v>319</v>
      </c>
      <c r="D200" s="40" t="s">
        <v>324</v>
      </c>
      <c r="E200" s="40" t="s">
        <v>171</v>
      </c>
      <c r="F200" s="171">
        <f>6400.8*1.05*1.05</f>
        <v>7056.8820000000005</v>
      </c>
      <c r="G200" s="171">
        <f>201.76*1.05</f>
        <v>211.84800000000001</v>
      </c>
      <c r="H200" s="171"/>
      <c r="I200" s="171">
        <v>153</v>
      </c>
      <c r="J200" s="181"/>
      <c r="K200" s="171">
        <f t="shared" si="37"/>
        <v>6998.0340000000006</v>
      </c>
    </row>
    <row r="201" spans="1:11" ht="51" customHeight="1">
      <c r="A201" s="89" t="s">
        <v>501</v>
      </c>
      <c r="B201" s="39" t="s">
        <v>582</v>
      </c>
      <c r="C201" s="409" t="s">
        <v>319</v>
      </c>
      <c r="D201" s="23" t="s">
        <v>324</v>
      </c>
      <c r="E201" s="40" t="s">
        <v>171</v>
      </c>
      <c r="F201" s="171">
        <f>6400.8*1.05*1.05</f>
        <v>7056.8820000000005</v>
      </c>
      <c r="G201" s="171">
        <f>201.76*1.05</f>
        <v>211.84800000000001</v>
      </c>
      <c r="H201" s="240"/>
      <c r="I201" s="171">
        <v>153</v>
      </c>
      <c r="J201" s="181"/>
      <c r="K201" s="171">
        <f t="shared" si="37"/>
        <v>6998.0340000000006</v>
      </c>
    </row>
    <row r="202" spans="1:11" ht="51" customHeight="1" thickBot="1">
      <c r="A202" s="73" t="s">
        <v>178</v>
      </c>
      <c r="B202" s="36" t="s">
        <v>92</v>
      </c>
      <c r="C202" s="36" t="s">
        <v>319</v>
      </c>
      <c r="D202" s="37" t="s">
        <v>324</v>
      </c>
      <c r="E202" s="55" t="s">
        <v>171</v>
      </c>
      <c r="F202" s="171">
        <f>6720.84*1.05*1.05</f>
        <v>7409.7261000000008</v>
      </c>
      <c r="G202" s="171">
        <f>183*1.05*1.05*1.05</f>
        <v>211.84537500000002</v>
      </c>
      <c r="H202" s="171"/>
      <c r="I202" s="171">
        <v>157</v>
      </c>
      <c r="J202" s="181"/>
      <c r="K202" s="171">
        <f t="shared" si="37"/>
        <v>7354.8807250000009</v>
      </c>
    </row>
    <row r="203" spans="1:11" ht="25.5" customHeight="1" thickTop="1" thickBot="1">
      <c r="A203" s="65"/>
      <c r="B203" s="23"/>
      <c r="D203" s="40"/>
      <c r="E203" s="161" t="s">
        <v>6</v>
      </c>
      <c r="F203" s="180">
        <f>SUM(F194:F202)</f>
        <v>64330.147349999992</v>
      </c>
      <c r="G203" s="180">
        <f t="shared" ref="G203:J203" si="38">SUM(G194:G202)</f>
        <v>1949.4536250000001</v>
      </c>
      <c r="H203" s="180">
        <f t="shared" si="38"/>
        <v>0</v>
      </c>
      <c r="I203" s="180">
        <f t="shared" si="38"/>
        <v>1403</v>
      </c>
      <c r="J203" s="180">
        <f t="shared" si="38"/>
        <v>0</v>
      </c>
      <c r="K203" s="180">
        <f>SUM(K194:K202)</f>
        <v>63783.693725000005</v>
      </c>
    </row>
    <row r="204" spans="1:11" ht="25.5" customHeight="1" thickBot="1">
      <c r="A204" s="65"/>
      <c r="B204" s="23"/>
      <c r="D204" s="110"/>
      <c r="E204" s="174" t="s">
        <v>329</v>
      </c>
      <c r="F204" s="175">
        <f>F203-[4]MADRE!$H$276</f>
        <v>0</v>
      </c>
      <c r="G204" s="175">
        <v>0</v>
      </c>
      <c r="H204" s="175">
        <f>H203-[23]MADRE!$J$283</f>
        <v>0</v>
      </c>
      <c r="I204" s="175">
        <f>I203-[4]MADRE!$K$276</f>
        <v>0</v>
      </c>
      <c r="J204" s="175">
        <f>J203-[3]MADRE!$L$273</f>
        <v>0</v>
      </c>
      <c r="K204" s="175">
        <v>0</v>
      </c>
    </row>
    <row r="205" spans="1:11" ht="14.25" customHeight="1">
      <c r="A205" s="93" t="s">
        <v>327</v>
      </c>
      <c r="B205" s="50"/>
      <c r="C205" s="150"/>
      <c r="D205" s="150"/>
      <c r="E205" s="236"/>
      <c r="F205" s="237"/>
      <c r="G205" s="237"/>
      <c r="H205" s="237"/>
      <c r="I205" s="237"/>
      <c r="J205" s="181"/>
      <c r="K205" s="237"/>
    </row>
    <row r="206" spans="1:11" ht="51" customHeight="1">
      <c r="A206" s="73" t="s">
        <v>176</v>
      </c>
      <c r="B206" s="36" t="s">
        <v>90</v>
      </c>
      <c r="C206" s="408" t="s">
        <v>319</v>
      </c>
      <c r="D206" s="52" t="s">
        <v>324</v>
      </c>
      <c r="E206" s="144" t="s">
        <v>175</v>
      </c>
      <c r="F206" s="171">
        <f>5545*1.05*1.05*1.05</f>
        <v>6419.0306250000003</v>
      </c>
      <c r="G206" s="171">
        <f>99*1.05*1.05*1.05</f>
        <v>114.60487500000001</v>
      </c>
      <c r="H206" s="183"/>
      <c r="I206" s="183">
        <v>126</v>
      </c>
      <c r="J206" s="401"/>
      <c r="K206" s="187">
        <f>F206-G206+H206+I206+J206</f>
        <v>6430.4257500000003</v>
      </c>
    </row>
    <row r="207" spans="1:11" ht="51" customHeight="1">
      <c r="A207" s="63" t="s">
        <v>525</v>
      </c>
      <c r="B207" s="39" t="s">
        <v>592</v>
      </c>
      <c r="C207" s="409" t="s">
        <v>319</v>
      </c>
      <c r="D207" s="40" t="s">
        <v>324</v>
      </c>
      <c r="E207" s="40" t="s">
        <v>175</v>
      </c>
      <c r="F207" s="171">
        <f>5545*1.05*1.05*1.05</f>
        <v>6419.0306250000003</v>
      </c>
      <c r="G207" s="171">
        <f t="shared" ref="G207:G220" si="39">99*1.05*1.05*1.05</f>
        <v>114.60487500000001</v>
      </c>
      <c r="H207" s="171"/>
      <c r="I207" s="171">
        <v>126</v>
      </c>
      <c r="J207" s="401"/>
      <c r="K207" s="187">
        <f>F207-G207+H207+I207+J207</f>
        <v>6430.4257500000003</v>
      </c>
    </row>
    <row r="208" spans="1:11" s="4" customFormat="1" ht="51" customHeight="1">
      <c r="A208" s="89" t="s">
        <v>621</v>
      </c>
      <c r="B208" s="23" t="s">
        <v>622</v>
      </c>
      <c r="C208" s="40" t="s">
        <v>319</v>
      </c>
      <c r="D208" s="40" t="s">
        <v>324</v>
      </c>
      <c r="E208" s="23" t="s">
        <v>175</v>
      </c>
      <c r="F208" s="171">
        <f t="shared" ref="F208:F220" si="40">5822.25*1.05*1.05</f>
        <v>6419.0306250000003</v>
      </c>
      <c r="G208" s="171">
        <f t="shared" si="39"/>
        <v>114.60487500000001</v>
      </c>
      <c r="H208" s="171"/>
      <c r="I208" s="171">
        <v>126</v>
      </c>
      <c r="J208" s="401"/>
      <c r="K208" s="187">
        <f t="shared" ref="K208:K220" si="41">F208-G208+H208+I208+J208</f>
        <v>6430.4257500000003</v>
      </c>
    </row>
    <row r="209" spans="1:11" s="4" customFormat="1" ht="51" customHeight="1">
      <c r="A209" s="89" t="s">
        <v>608</v>
      </c>
      <c r="B209" s="23"/>
      <c r="C209" s="40" t="s">
        <v>319</v>
      </c>
      <c r="D209" s="40" t="s">
        <v>324</v>
      </c>
      <c r="E209" s="23" t="s">
        <v>175</v>
      </c>
      <c r="F209" s="171">
        <f t="shared" si="40"/>
        <v>6419.0306250000003</v>
      </c>
      <c r="G209" s="171">
        <f t="shared" si="39"/>
        <v>114.60487500000001</v>
      </c>
      <c r="H209" s="171"/>
      <c r="I209" s="171">
        <v>126</v>
      </c>
      <c r="J209" s="401"/>
      <c r="K209" s="187">
        <f t="shared" si="41"/>
        <v>6430.4257500000003</v>
      </c>
    </row>
    <row r="210" spans="1:11" s="4" customFormat="1" ht="51" customHeight="1">
      <c r="A210" s="89" t="s">
        <v>602</v>
      </c>
      <c r="B210" s="23"/>
      <c r="C210" s="40" t="s">
        <v>321</v>
      </c>
      <c r="D210" s="40" t="s">
        <v>324</v>
      </c>
      <c r="E210" s="23" t="s">
        <v>175</v>
      </c>
      <c r="F210" s="171">
        <f t="shared" si="40"/>
        <v>6419.0306250000003</v>
      </c>
      <c r="G210" s="171">
        <f t="shared" si="39"/>
        <v>114.60487500000001</v>
      </c>
      <c r="H210" s="171"/>
      <c r="I210" s="171">
        <v>126</v>
      </c>
      <c r="J210" s="401"/>
      <c r="K210" s="187">
        <f t="shared" si="41"/>
        <v>6430.4257500000003</v>
      </c>
    </row>
    <row r="211" spans="1:11" s="4" customFormat="1" ht="51" customHeight="1">
      <c r="A211" s="89" t="s">
        <v>603</v>
      </c>
      <c r="B211" s="23"/>
      <c r="C211" s="40" t="s">
        <v>319</v>
      </c>
      <c r="D211" s="40" t="s">
        <v>324</v>
      </c>
      <c r="E211" s="23" t="s">
        <v>175</v>
      </c>
      <c r="F211" s="171">
        <f t="shared" si="40"/>
        <v>6419.0306250000003</v>
      </c>
      <c r="G211" s="171">
        <f t="shared" si="39"/>
        <v>114.60487500000001</v>
      </c>
      <c r="H211" s="171"/>
      <c r="I211" s="171">
        <v>126</v>
      </c>
      <c r="J211" s="401"/>
      <c r="K211" s="187">
        <f t="shared" si="41"/>
        <v>6430.4257500000003</v>
      </c>
    </row>
    <row r="212" spans="1:11" s="4" customFormat="1" ht="51" customHeight="1">
      <c r="A212" s="89" t="s">
        <v>610</v>
      </c>
      <c r="B212" s="356" t="s">
        <v>707</v>
      </c>
      <c r="C212" s="40" t="s">
        <v>319</v>
      </c>
      <c r="D212" s="40" t="s">
        <v>324</v>
      </c>
      <c r="E212" s="23" t="s">
        <v>175</v>
      </c>
      <c r="F212" s="171">
        <f t="shared" si="40"/>
        <v>6419.0306250000003</v>
      </c>
      <c r="G212" s="171">
        <f t="shared" si="39"/>
        <v>114.60487500000001</v>
      </c>
      <c r="H212" s="171"/>
      <c r="I212" s="171">
        <v>126</v>
      </c>
      <c r="J212" s="401"/>
      <c r="K212" s="187">
        <f t="shared" si="41"/>
        <v>6430.4257500000003</v>
      </c>
    </row>
    <row r="213" spans="1:11" s="4" customFormat="1" ht="51" customHeight="1">
      <c r="A213" s="89" t="s">
        <v>681</v>
      </c>
      <c r="B213" s="356" t="s">
        <v>682</v>
      </c>
      <c r="C213" s="40" t="s">
        <v>319</v>
      </c>
      <c r="D213" s="40" t="s">
        <v>324</v>
      </c>
      <c r="E213" s="23" t="s">
        <v>175</v>
      </c>
      <c r="F213" s="171">
        <f t="shared" si="40"/>
        <v>6419.0306250000003</v>
      </c>
      <c r="G213" s="171">
        <f t="shared" si="39"/>
        <v>114.60487500000001</v>
      </c>
      <c r="H213" s="171"/>
      <c r="I213" s="171">
        <v>126</v>
      </c>
      <c r="J213" s="401"/>
      <c r="K213" s="187">
        <f t="shared" si="41"/>
        <v>6430.4257500000003</v>
      </c>
    </row>
    <row r="214" spans="1:11" s="4" customFormat="1" ht="51" customHeight="1">
      <c r="A214" s="89" t="s">
        <v>641</v>
      </c>
      <c r="B214" s="391" t="s">
        <v>642</v>
      </c>
      <c r="C214" s="40" t="s">
        <v>319</v>
      </c>
      <c r="D214" s="40" t="s">
        <v>324</v>
      </c>
      <c r="E214" s="23" t="s">
        <v>175</v>
      </c>
      <c r="F214" s="171">
        <f t="shared" si="40"/>
        <v>6419.0306250000003</v>
      </c>
      <c r="G214" s="171">
        <f t="shared" si="39"/>
        <v>114.60487500000001</v>
      </c>
      <c r="H214" s="171"/>
      <c r="I214" s="171">
        <v>126</v>
      </c>
      <c r="J214" s="401"/>
      <c r="K214" s="187">
        <f t="shared" si="41"/>
        <v>6430.4257500000003</v>
      </c>
    </row>
    <row r="215" spans="1:11" s="4" customFormat="1" ht="51" customHeight="1">
      <c r="A215" s="89" t="s">
        <v>701</v>
      </c>
      <c r="B215" s="356" t="s">
        <v>702</v>
      </c>
      <c r="C215" s="40" t="s">
        <v>319</v>
      </c>
      <c r="D215" s="40" t="s">
        <v>324</v>
      </c>
      <c r="E215" s="23" t="s">
        <v>175</v>
      </c>
      <c r="F215" s="171">
        <f t="shared" si="40"/>
        <v>6419.0306250000003</v>
      </c>
      <c r="G215" s="171">
        <f t="shared" si="39"/>
        <v>114.60487500000001</v>
      </c>
      <c r="H215" s="171"/>
      <c r="I215" s="171">
        <v>126</v>
      </c>
      <c r="J215" s="401"/>
      <c r="K215" s="187">
        <f t="shared" si="41"/>
        <v>6430.4257500000003</v>
      </c>
    </row>
    <row r="216" spans="1:11" s="4" customFormat="1" ht="51" customHeight="1">
      <c r="A216" s="89" t="s">
        <v>699</v>
      </c>
      <c r="B216" s="425" t="s">
        <v>700</v>
      </c>
      <c r="C216" s="40" t="s">
        <v>321</v>
      </c>
      <c r="D216" s="40" t="s">
        <v>324</v>
      </c>
      <c r="E216" s="23" t="s">
        <v>175</v>
      </c>
      <c r="F216" s="171">
        <f t="shared" si="40"/>
        <v>6419.0306250000003</v>
      </c>
      <c r="G216" s="171">
        <f t="shared" si="39"/>
        <v>114.60487500000001</v>
      </c>
      <c r="H216" s="171"/>
      <c r="I216" s="171">
        <v>126</v>
      </c>
      <c r="J216" s="401"/>
      <c r="K216" s="187">
        <f t="shared" si="41"/>
        <v>6430.4257500000003</v>
      </c>
    </row>
    <row r="217" spans="1:11" s="4" customFormat="1" ht="51" customHeight="1">
      <c r="A217" s="89" t="s">
        <v>661</v>
      </c>
      <c r="B217" s="23" t="s">
        <v>662</v>
      </c>
      <c r="C217" s="40" t="s">
        <v>321</v>
      </c>
      <c r="D217" s="40" t="s">
        <v>324</v>
      </c>
      <c r="E217" s="23" t="s">
        <v>175</v>
      </c>
      <c r="F217" s="171">
        <f t="shared" si="40"/>
        <v>6419.0306250000003</v>
      </c>
      <c r="G217" s="171">
        <f t="shared" si="39"/>
        <v>114.60487500000001</v>
      </c>
      <c r="H217" s="171"/>
      <c r="I217" s="171">
        <v>126</v>
      </c>
      <c r="J217" s="401"/>
      <c r="K217" s="187">
        <f t="shared" si="41"/>
        <v>6430.4257500000003</v>
      </c>
    </row>
    <row r="218" spans="1:11" s="4" customFormat="1" ht="51" customHeight="1">
      <c r="A218" s="89" t="s">
        <v>674</v>
      </c>
      <c r="B218" s="23" t="s">
        <v>675</v>
      </c>
      <c r="C218" s="40" t="s">
        <v>319</v>
      </c>
      <c r="D218" s="40" t="s">
        <v>324</v>
      </c>
      <c r="E218" s="23" t="s">
        <v>175</v>
      </c>
      <c r="F218" s="171">
        <f t="shared" si="40"/>
        <v>6419.0306250000003</v>
      </c>
      <c r="G218" s="171">
        <f t="shared" si="39"/>
        <v>114.60487500000001</v>
      </c>
      <c r="H218" s="171"/>
      <c r="I218" s="171">
        <v>126</v>
      </c>
      <c r="J218" s="401"/>
      <c r="K218" s="187">
        <f t="shared" si="41"/>
        <v>6430.4257500000003</v>
      </c>
    </row>
    <row r="219" spans="1:11" s="4" customFormat="1" ht="51" customHeight="1">
      <c r="A219" s="426" t="s">
        <v>728</v>
      </c>
      <c r="B219" s="356" t="s">
        <v>729</v>
      </c>
      <c r="C219" s="40" t="s">
        <v>319</v>
      </c>
      <c r="D219" s="40" t="s">
        <v>324</v>
      </c>
      <c r="E219" s="23" t="s">
        <v>175</v>
      </c>
      <c r="F219" s="171">
        <f t="shared" si="40"/>
        <v>6419.0306250000003</v>
      </c>
      <c r="G219" s="171">
        <f t="shared" si="39"/>
        <v>114.60487500000001</v>
      </c>
      <c r="H219" s="171"/>
      <c r="I219" s="171">
        <v>126</v>
      </c>
      <c r="J219" s="401"/>
      <c r="K219" s="187">
        <f t="shared" si="41"/>
        <v>6430.4257500000003</v>
      </c>
    </row>
    <row r="220" spans="1:11" s="4" customFormat="1" ht="51" customHeight="1" thickBot="1">
      <c r="A220" s="89" t="s">
        <v>465</v>
      </c>
      <c r="B220" s="23" t="s">
        <v>466</v>
      </c>
      <c r="C220" s="40" t="s">
        <v>319</v>
      </c>
      <c r="D220" s="40" t="s">
        <v>324</v>
      </c>
      <c r="E220" s="23" t="s">
        <v>175</v>
      </c>
      <c r="F220" s="275">
        <f t="shared" si="40"/>
        <v>6419.0306250000003</v>
      </c>
      <c r="G220" s="275">
        <f t="shared" si="39"/>
        <v>114.60487500000001</v>
      </c>
      <c r="H220" s="275"/>
      <c r="I220" s="272">
        <v>126</v>
      </c>
      <c r="J220" s="405"/>
      <c r="K220" s="428">
        <f t="shared" si="41"/>
        <v>6430.4257500000003</v>
      </c>
    </row>
    <row r="221" spans="1:11" ht="25.5" customHeight="1" thickTop="1">
      <c r="A221" s="263"/>
      <c r="B221" s="23"/>
      <c r="D221" s="23"/>
      <c r="E221" s="161" t="s">
        <v>6</v>
      </c>
      <c r="F221" s="246">
        <f t="shared" ref="F221:J221" si="42">SUM(F206:F220)</f>
        <v>96285.459375000006</v>
      </c>
      <c r="G221" s="246">
        <f t="shared" si="42"/>
        <v>1719.0731250000001</v>
      </c>
      <c r="H221" s="246">
        <f t="shared" si="42"/>
        <v>0</v>
      </c>
      <c r="I221" s="246">
        <f t="shared" si="42"/>
        <v>1890</v>
      </c>
      <c r="J221" s="246">
        <f t="shared" si="42"/>
        <v>0</v>
      </c>
      <c r="K221" s="246">
        <f>SUM(K206:K220)</f>
        <v>96456.386249999996</v>
      </c>
    </row>
    <row r="222" spans="1:11" ht="25.5" customHeight="1">
      <c r="A222" s="95"/>
      <c r="B222" s="36"/>
      <c r="C222" s="36"/>
      <c r="D222" s="36"/>
      <c r="E222" s="296" t="s">
        <v>329</v>
      </c>
      <c r="F222" s="297">
        <f>F221-[15]MADRE!$H$292</f>
        <v>0</v>
      </c>
      <c r="G222" s="297">
        <f>G221-[15]MADRE!$I$292</f>
        <v>0</v>
      </c>
      <c r="H222" s="297">
        <f>SUM(H206:H220)</f>
        <v>0</v>
      </c>
      <c r="I222" s="297">
        <f>I221-[15]MADRE!$K$292</f>
        <v>0</v>
      </c>
      <c r="J222" s="297">
        <f>J221-[3]MADRE!$L$293</f>
        <v>0</v>
      </c>
      <c r="K222" s="297">
        <f>K221-[3]MADRE!$M$292</f>
        <v>0</v>
      </c>
    </row>
    <row r="223" spans="1:11" ht="15" customHeight="1">
      <c r="A223" s="58" t="s">
        <v>299</v>
      </c>
      <c r="B223" s="327"/>
      <c r="C223" s="113"/>
      <c r="D223" s="113"/>
      <c r="E223" s="34"/>
      <c r="F223" s="34"/>
      <c r="G223" s="34"/>
      <c r="H223" s="34"/>
      <c r="I223" s="34"/>
      <c r="J223" s="434"/>
      <c r="K223" s="34"/>
    </row>
    <row r="224" spans="1:11" ht="47.25" customHeight="1">
      <c r="A224" s="65" t="s">
        <v>419</v>
      </c>
      <c r="B224" s="24" t="s">
        <v>583</v>
      </c>
      <c r="C224" s="40" t="s">
        <v>319</v>
      </c>
      <c r="D224" s="23" t="s">
        <v>323</v>
      </c>
      <c r="E224" s="24" t="s">
        <v>420</v>
      </c>
      <c r="F224" s="171">
        <f>7408*1.04*1.05*1.05</f>
        <v>8494.0128000000022</v>
      </c>
      <c r="G224" s="171">
        <f>336*1.04*1.05*1.05</f>
        <v>385.25760000000002</v>
      </c>
      <c r="H224" s="171"/>
      <c r="I224" s="171"/>
      <c r="J224" s="401"/>
      <c r="K224" s="185">
        <f>F224-G224+H224+J224</f>
        <v>8108.7552000000023</v>
      </c>
    </row>
    <row r="225" spans="1:11" ht="47.25" customHeight="1">
      <c r="A225" s="65" t="s">
        <v>666</v>
      </c>
      <c r="B225" s="24" t="s">
        <v>667</v>
      </c>
      <c r="C225" s="40" t="s">
        <v>319</v>
      </c>
      <c r="D225" s="23" t="s">
        <v>333</v>
      </c>
      <c r="E225" s="24" t="s">
        <v>420</v>
      </c>
      <c r="F225" s="171">
        <f>6690*1.05</f>
        <v>7024.5</v>
      </c>
      <c r="G225" s="171">
        <f>190*1.05</f>
        <v>199.5</v>
      </c>
      <c r="H225" s="171"/>
      <c r="I225" s="171"/>
      <c r="J225" s="401"/>
      <c r="K225" s="185">
        <f>F225-G225+H225+J225</f>
        <v>6825</v>
      </c>
    </row>
    <row r="226" spans="1:11" s="4" customFormat="1" ht="51" customHeight="1" thickBot="1">
      <c r="A226" s="78" t="s">
        <v>241</v>
      </c>
      <c r="B226" s="36" t="s">
        <v>80</v>
      </c>
      <c r="C226" s="51" t="s">
        <v>319</v>
      </c>
      <c r="D226" s="37" t="s">
        <v>323</v>
      </c>
      <c r="E226" s="320" t="s">
        <v>660</v>
      </c>
      <c r="F226" s="171">
        <f>7215*1.05*1.05*1.05</f>
        <v>8352.2643750000007</v>
      </c>
      <c r="G226" s="171">
        <f>220*1.05*1.05*1.05</f>
        <v>254.67750000000001</v>
      </c>
      <c r="H226" s="183"/>
      <c r="I226" s="183"/>
      <c r="J226" s="401"/>
      <c r="K226" s="171">
        <f>F226-G226+H226+J226</f>
        <v>8097.5868750000009</v>
      </c>
    </row>
    <row r="227" spans="1:11" ht="23.25" customHeight="1" thickTop="1" thickBot="1">
      <c r="A227" s="90"/>
      <c r="B227" s="33"/>
      <c r="D227" s="23"/>
      <c r="E227" s="56" t="s">
        <v>6</v>
      </c>
      <c r="F227" s="180">
        <f>SUM(F224:F226)</f>
        <v>23870.777175000003</v>
      </c>
      <c r="G227" s="180">
        <f>SUM(G224:G226)</f>
        <v>839.43510000000003</v>
      </c>
      <c r="H227" s="180">
        <f>SUM(H224:H224)</f>
        <v>0</v>
      </c>
      <c r="I227" s="180">
        <f>SUM(I224:I224)</f>
        <v>0</v>
      </c>
      <c r="J227" s="180">
        <f>SUM(J224:J224)</f>
        <v>0</v>
      </c>
      <c r="K227" s="180">
        <f>SUM(K224:K226)</f>
        <v>23031.342075000004</v>
      </c>
    </row>
    <row r="228" spans="1:11" ht="28.5" customHeight="1" thickBot="1">
      <c r="A228" s="90"/>
      <c r="B228" s="33"/>
      <c r="D228" s="110"/>
      <c r="E228" s="174" t="s">
        <v>329</v>
      </c>
      <c r="F228" s="175">
        <f>F227-[1]MADRE!$H$302</f>
        <v>0</v>
      </c>
      <c r="G228" s="175">
        <f>G227-[1]MADRE!$I$302</f>
        <v>0</v>
      </c>
      <c r="H228" s="175">
        <f>H227-[2]MADRE!J$306</f>
        <v>0</v>
      </c>
      <c r="I228" s="175">
        <f>I227-[2]MADRE!K$306</f>
        <v>0</v>
      </c>
      <c r="J228" s="175">
        <f>J227-[3]MADRE!$L$302</f>
        <v>0</v>
      </c>
      <c r="K228" s="175">
        <f>K227-[3]MADRE!$M$302</f>
        <v>0</v>
      </c>
    </row>
    <row r="229" spans="1:11" ht="15.75" customHeight="1">
      <c r="A229" s="58" t="s">
        <v>406</v>
      </c>
      <c r="B229" s="50"/>
      <c r="C229" s="150"/>
      <c r="D229" s="50"/>
      <c r="E229" s="242"/>
      <c r="F229" s="238"/>
      <c r="G229" s="238"/>
      <c r="H229" s="238"/>
      <c r="I229" s="238"/>
      <c r="J229" s="171"/>
      <c r="K229" s="238"/>
    </row>
    <row r="230" spans="1:11" ht="24" customHeight="1" thickBot="1">
      <c r="A230" s="63"/>
      <c r="B230" s="40"/>
      <c r="D230" s="40"/>
      <c r="E230" s="40"/>
      <c r="F230" s="171"/>
      <c r="G230" s="171"/>
      <c r="H230" s="171"/>
      <c r="I230" s="171"/>
      <c r="J230" s="181"/>
      <c r="K230" s="171">
        <f>F230-G230+H230</f>
        <v>0</v>
      </c>
    </row>
    <row r="231" spans="1:11" ht="25.5" customHeight="1" thickTop="1" thickBot="1">
      <c r="A231" s="90"/>
      <c r="B231" s="33"/>
      <c r="D231" s="23"/>
      <c r="E231" s="56" t="s">
        <v>6</v>
      </c>
      <c r="F231" s="180">
        <f t="shared" ref="F231:K231" si="43">SUM(F230:F230)</f>
        <v>0</v>
      </c>
      <c r="G231" s="180">
        <f t="shared" si="43"/>
        <v>0</v>
      </c>
      <c r="H231" s="180">
        <f>SUM(H230:H230)</f>
        <v>0</v>
      </c>
      <c r="I231" s="180">
        <f>SUM(I230:I230)</f>
        <v>0</v>
      </c>
      <c r="J231" s="180">
        <f>SUM(J230:J230)</f>
        <v>0</v>
      </c>
      <c r="K231" s="180">
        <f t="shared" si="43"/>
        <v>0</v>
      </c>
    </row>
    <row r="232" spans="1:11" ht="25.5" customHeight="1" thickBot="1">
      <c r="A232" s="90"/>
      <c r="B232" s="33"/>
      <c r="D232" s="110"/>
      <c r="E232" s="174" t="s">
        <v>329</v>
      </c>
      <c r="F232" s="175">
        <f>F231-[16]MADRE!$H$320</f>
        <v>0</v>
      </c>
      <c r="G232" s="175">
        <f>G231-[2]MADRE!I$313</f>
        <v>0</v>
      </c>
      <c r="H232" s="175">
        <f>H231-[16]MADRE!$J$320</f>
        <v>0</v>
      </c>
      <c r="I232" s="175">
        <f>I231-[2]MADRE!K$313</f>
        <v>0</v>
      </c>
      <c r="J232" s="175">
        <f>J231-[2]MADRE!L$313</f>
        <v>0</v>
      </c>
      <c r="K232" s="175">
        <f>K231-[16]MADRE!$M$320</f>
        <v>0</v>
      </c>
    </row>
    <row r="233" spans="1:11" ht="15" customHeight="1">
      <c r="A233" s="26" t="s">
        <v>306</v>
      </c>
      <c r="B233" s="324"/>
      <c r="C233" s="109"/>
      <c r="D233" s="109"/>
      <c r="E233" s="29"/>
      <c r="F233" s="29"/>
      <c r="G233" s="29"/>
      <c r="H233" s="29"/>
      <c r="I233" s="29"/>
      <c r="J233" s="397"/>
      <c r="K233" s="29"/>
    </row>
    <row r="234" spans="1:11" ht="51" customHeight="1">
      <c r="A234" s="312" t="s">
        <v>196</v>
      </c>
      <c r="B234" s="337" t="s">
        <v>23</v>
      </c>
      <c r="C234" s="409" t="s">
        <v>319</v>
      </c>
      <c r="D234" s="310" t="s">
        <v>323</v>
      </c>
      <c r="E234" s="313" t="s">
        <v>645</v>
      </c>
      <c r="F234" s="311">
        <f>7028.8*1.05*1.05</f>
        <v>7749.2520000000013</v>
      </c>
      <c r="G234" s="311">
        <f>220*1.04*1.05*1.05</f>
        <v>252.25200000000001</v>
      </c>
      <c r="H234" s="311"/>
      <c r="I234" s="311"/>
      <c r="J234" s="438"/>
      <c r="K234" s="311">
        <f>F234-G234+J234</f>
        <v>7497.0000000000009</v>
      </c>
    </row>
    <row r="235" spans="1:11" ht="51" customHeight="1">
      <c r="A235" s="321" t="s">
        <v>503</v>
      </c>
      <c r="B235" s="313" t="s">
        <v>584</v>
      </c>
      <c r="C235" s="409" t="s">
        <v>319</v>
      </c>
      <c r="D235" s="322" t="s">
        <v>323</v>
      </c>
      <c r="E235" s="323" t="s">
        <v>684</v>
      </c>
      <c r="F235" s="311">
        <f>10038*1.04*1.05*1.05</f>
        <v>11509.570800000001</v>
      </c>
      <c r="G235" s="311">
        <f>441*1.04*1.05*1.05</f>
        <v>505.65060000000011</v>
      </c>
      <c r="H235" s="439"/>
      <c r="I235" s="439"/>
      <c r="J235" s="438"/>
      <c r="K235" s="311">
        <f>F235-G235+J235</f>
        <v>11003.9202</v>
      </c>
    </row>
    <row r="236" spans="1:11" ht="51" customHeight="1">
      <c r="A236" s="89" t="s">
        <v>182</v>
      </c>
      <c r="B236" s="23" t="s">
        <v>11</v>
      </c>
      <c r="C236" s="40" t="s">
        <v>319</v>
      </c>
      <c r="D236" s="146" t="s">
        <v>469</v>
      </c>
      <c r="E236" s="151" t="s">
        <v>502</v>
      </c>
      <c r="F236" s="171">
        <f>5800*1.04*1.05*1.05</f>
        <v>6650.2800000000007</v>
      </c>
      <c r="G236" s="171">
        <f>175*1.04*1.05*1.05</f>
        <v>200.655</v>
      </c>
      <c r="H236" s="184"/>
      <c r="I236" s="184"/>
      <c r="J236" s="181"/>
      <c r="K236" s="171">
        <f t="shared" ref="K236:K243" si="44">F236-G236+H236+J236</f>
        <v>6449.6250000000009</v>
      </c>
    </row>
    <row r="237" spans="1:11" s="17" customFormat="1" ht="51" customHeight="1">
      <c r="A237" s="89" t="s">
        <v>457</v>
      </c>
      <c r="B237" s="23" t="s">
        <v>375</v>
      </c>
      <c r="C237" s="416" t="s">
        <v>319</v>
      </c>
      <c r="D237" s="146" t="s">
        <v>323</v>
      </c>
      <c r="E237" s="151" t="s">
        <v>458</v>
      </c>
      <c r="F237" s="171">
        <f>5953*1.04*1.05*1.05</f>
        <v>6825.7098000000005</v>
      </c>
      <c r="G237" s="171">
        <f>183*1.04*1.05*1.05</f>
        <v>209.82780000000002</v>
      </c>
      <c r="H237" s="184"/>
      <c r="I237" s="184"/>
      <c r="J237" s="181"/>
      <c r="K237" s="171">
        <f t="shared" si="44"/>
        <v>6615.8820000000005</v>
      </c>
    </row>
    <row r="238" spans="1:11" ht="51" customHeight="1">
      <c r="A238" s="88" t="s">
        <v>186</v>
      </c>
      <c r="B238" s="41" t="s">
        <v>12</v>
      </c>
      <c r="C238" s="413" t="s">
        <v>319</v>
      </c>
      <c r="D238" s="55" t="s">
        <v>323</v>
      </c>
      <c r="E238" s="49" t="s">
        <v>183</v>
      </c>
      <c r="F238" s="171">
        <f>3864*1.05*1.05*1.05</f>
        <v>4473.063000000001</v>
      </c>
      <c r="G238" s="243"/>
      <c r="H238" s="189">
        <v>136</v>
      </c>
      <c r="I238" s="189"/>
      <c r="J238" s="181"/>
      <c r="K238" s="171">
        <f t="shared" si="44"/>
        <v>4609.063000000001</v>
      </c>
    </row>
    <row r="239" spans="1:11" ht="51" customHeight="1">
      <c r="A239" s="440" t="s">
        <v>520</v>
      </c>
      <c r="B239" s="441"/>
      <c r="C239" s="310" t="s">
        <v>319</v>
      </c>
      <c r="D239" s="442" t="s">
        <v>323</v>
      </c>
      <c r="E239" s="441" t="s">
        <v>183</v>
      </c>
      <c r="F239" s="311">
        <v>0</v>
      </c>
      <c r="G239" s="311"/>
      <c r="H239" s="443">
        <v>0</v>
      </c>
      <c r="I239" s="443"/>
      <c r="J239" s="438"/>
      <c r="K239" s="311">
        <f t="shared" si="44"/>
        <v>0</v>
      </c>
    </row>
    <row r="240" spans="1:11" ht="51" customHeight="1">
      <c r="A240" s="63" t="s">
        <v>187</v>
      </c>
      <c r="B240" s="23" t="s">
        <v>14</v>
      </c>
      <c r="C240" s="409" t="s">
        <v>319</v>
      </c>
      <c r="D240" s="55" t="s">
        <v>323</v>
      </c>
      <c r="E240" s="151" t="s">
        <v>184</v>
      </c>
      <c r="F240" s="171">
        <f>5478*1.04*1.05*1.05</f>
        <v>6281.0748000000012</v>
      </c>
      <c r="G240" s="212">
        <f>102.96*1.05*1.05</f>
        <v>113.5134</v>
      </c>
      <c r="H240" s="258"/>
      <c r="I240" s="184"/>
      <c r="J240" s="181"/>
      <c r="K240" s="171">
        <f t="shared" si="44"/>
        <v>6167.5614000000014</v>
      </c>
    </row>
    <row r="241" spans="1:221" s="390" customFormat="1" ht="51" customHeight="1">
      <c r="A241" s="65" t="s">
        <v>208</v>
      </c>
      <c r="B241" s="23" t="s">
        <v>30</v>
      </c>
      <c r="C241" s="417" t="s">
        <v>319</v>
      </c>
      <c r="D241" s="124" t="s">
        <v>323</v>
      </c>
      <c r="E241" s="49" t="s">
        <v>130</v>
      </c>
      <c r="F241" s="298">
        <f>8268*1.04*1.05*1.05</f>
        <v>9480.0888000000014</v>
      </c>
      <c r="G241" s="298">
        <f>367*1.04*1.05*1.05</f>
        <v>420.80220000000003</v>
      </c>
      <c r="H241" s="258"/>
      <c r="I241" s="189"/>
      <c r="J241" s="181"/>
      <c r="K241" s="171">
        <f t="shared" si="44"/>
        <v>9059.2866000000013</v>
      </c>
    </row>
    <row r="242" spans="1:221" s="14" customFormat="1" ht="51" customHeight="1">
      <c r="A242" s="65" t="s">
        <v>334</v>
      </c>
      <c r="B242" s="23" t="s">
        <v>335</v>
      </c>
      <c r="C242" s="387" t="s">
        <v>319</v>
      </c>
      <c r="D242" s="152" t="s">
        <v>323</v>
      </c>
      <c r="E242" s="153" t="s">
        <v>360</v>
      </c>
      <c r="F242" s="171">
        <f>4006*1.05*1.05*1.05</f>
        <v>4637.4457500000008</v>
      </c>
      <c r="G242" s="171"/>
      <c r="H242" s="171">
        <v>90</v>
      </c>
      <c r="I242" s="42"/>
      <c r="J242" s="181"/>
      <c r="K242" s="171">
        <f t="shared" si="44"/>
        <v>4727.4457500000008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</row>
    <row r="243" spans="1:221" s="14" customFormat="1" ht="51" customHeight="1">
      <c r="A243" s="65" t="s">
        <v>390</v>
      </c>
      <c r="B243" s="24" t="s">
        <v>389</v>
      </c>
      <c r="C243" s="40" t="s">
        <v>319</v>
      </c>
      <c r="D243" s="116" t="s">
        <v>323</v>
      </c>
      <c r="E243" s="39" t="s">
        <v>360</v>
      </c>
      <c r="F243" s="171">
        <f>3910*1.05</f>
        <v>4105.5</v>
      </c>
      <c r="G243" s="171"/>
      <c r="H243" s="171">
        <v>90</v>
      </c>
      <c r="I243" s="42"/>
      <c r="J243" s="181"/>
      <c r="K243" s="171">
        <f t="shared" si="44"/>
        <v>4195.5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</row>
    <row r="244" spans="1:221" s="14" customFormat="1" ht="51" customHeight="1">
      <c r="A244" s="96" t="s">
        <v>433</v>
      </c>
      <c r="B244" s="24" t="s">
        <v>432</v>
      </c>
      <c r="C244" s="40" t="s">
        <v>319</v>
      </c>
      <c r="D244" s="23" t="s">
        <v>323</v>
      </c>
      <c r="E244" s="24" t="s">
        <v>360</v>
      </c>
      <c r="F244" s="171">
        <f>4191.93*1.05</f>
        <v>4401.5265000000009</v>
      </c>
      <c r="G244" s="171"/>
      <c r="H244" s="172">
        <v>90</v>
      </c>
      <c r="I244" s="172"/>
      <c r="J244" s="181"/>
      <c r="K244" s="171">
        <f t="shared" ref="K244:K246" si="45">F244-G244+H244+J244</f>
        <v>4491.5265000000009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</row>
    <row r="245" spans="1:221" s="14" customFormat="1" ht="51" customHeight="1">
      <c r="A245" s="96" t="s">
        <v>438</v>
      </c>
      <c r="B245" s="24" t="s">
        <v>436</v>
      </c>
      <c r="C245" s="40" t="s">
        <v>319</v>
      </c>
      <c r="D245" s="23" t="s">
        <v>323</v>
      </c>
      <c r="E245" s="24" t="s">
        <v>360</v>
      </c>
      <c r="F245" s="171">
        <f>4065.43*1.05</f>
        <v>4268.7015000000001</v>
      </c>
      <c r="G245" s="171"/>
      <c r="H245" s="172">
        <v>90</v>
      </c>
      <c r="I245" s="172"/>
      <c r="J245" s="181"/>
      <c r="K245" s="171">
        <f t="shared" si="45"/>
        <v>4358.7015000000001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</row>
    <row r="246" spans="1:221" s="14" customFormat="1" ht="51" customHeight="1" thickBot="1">
      <c r="A246" s="96" t="s">
        <v>504</v>
      </c>
      <c r="B246" s="24" t="s">
        <v>585</v>
      </c>
      <c r="C246" s="40" t="s">
        <v>319</v>
      </c>
      <c r="D246" s="23" t="s">
        <v>469</v>
      </c>
      <c r="E246" s="24" t="s">
        <v>360</v>
      </c>
      <c r="F246" s="171">
        <f>3370*1.05*1.05*1.05</f>
        <v>3901.1962500000004</v>
      </c>
      <c r="G246" s="171"/>
      <c r="H246" s="172">
        <v>90</v>
      </c>
      <c r="I246" s="172"/>
      <c r="J246" s="181"/>
      <c r="K246" s="171">
        <f t="shared" si="45"/>
        <v>3991.1962500000004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</row>
    <row r="247" spans="1:221" ht="25.5" customHeight="1" thickTop="1" thickBot="1">
      <c r="A247" s="65"/>
      <c r="B247" s="23"/>
      <c r="D247" s="40"/>
      <c r="E247" s="244" t="s">
        <v>6</v>
      </c>
      <c r="F247" s="245">
        <f t="shared" ref="F247:J247" si="46">SUM(F234:F246)</f>
        <v>74283.409199999995</v>
      </c>
      <c r="G247" s="245">
        <f t="shared" si="46"/>
        <v>1702.7010000000002</v>
      </c>
      <c r="H247" s="245">
        <f t="shared" si="46"/>
        <v>586</v>
      </c>
      <c r="I247" s="245">
        <f t="shared" si="46"/>
        <v>0</v>
      </c>
      <c r="J247" s="247">
        <f t="shared" si="46"/>
        <v>0</v>
      </c>
      <c r="K247" s="245">
        <f>SUM(K234:K246)</f>
        <v>73166.708199999994</v>
      </c>
    </row>
    <row r="248" spans="1:221" ht="25.5" customHeight="1" thickBot="1">
      <c r="A248" s="65"/>
      <c r="B248" s="23"/>
      <c r="D248" s="110"/>
      <c r="E248" s="174" t="s">
        <v>329</v>
      </c>
      <c r="F248" s="175">
        <f>F247-[3]MADRE!$H$328</f>
        <v>0</v>
      </c>
      <c r="G248" s="175">
        <f>G247-[1]MADRE!$I$328</f>
        <v>0</v>
      </c>
      <c r="H248" s="175">
        <f>H247-[3]MADRE!$J$328</f>
        <v>0</v>
      </c>
      <c r="I248" s="175">
        <f>I247-[24]MADRE!$K$337</f>
        <v>0</v>
      </c>
      <c r="J248" s="175">
        <f>J247-[3]MADRE!$L$328</f>
        <v>0</v>
      </c>
      <c r="K248" s="175">
        <f>K247-[3]MADRE!$M$328</f>
        <v>0</v>
      </c>
    </row>
    <row r="249" spans="1:221" ht="15" customHeight="1">
      <c r="A249" s="60" t="s">
        <v>307</v>
      </c>
      <c r="B249" s="332"/>
      <c r="C249" s="141"/>
      <c r="D249" s="141"/>
      <c r="E249" s="44"/>
      <c r="F249" s="44"/>
      <c r="G249" s="44"/>
      <c r="H249" s="44"/>
      <c r="I249" s="44"/>
      <c r="J249" s="252"/>
      <c r="K249" s="44"/>
    </row>
    <row r="251" spans="1:221" ht="51" customHeight="1" thickBot="1">
      <c r="A251" s="65" t="s">
        <v>197</v>
      </c>
      <c r="B251" s="23" t="s">
        <v>24</v>
      </c>
      <c r="C251" s="40" t="s">
        <v>321</v>
      </c>
      <c r="D251" s="23" t="s">
        <v>323</v>
      </c>
      <c r="E251" s="24" t="s">
        <v>195</v>
      </c>
      <c r="F251" s="272">
        <f>6405*1.04*1.05*1.05</f>
        <v>7343.9730000000009</v>
      </c>
      <c r="G251" s="272">
        <f>183*1.04*1.05*1.05</f>
        <v>209.82780000000002</v>
      </c>
      <c r="H251" s="272"/>
      <c r="I251" s="272"/>
      <c r="J251" s="402"/>
      <c r="K251" s="272">
        <f>F251-G251+H251+J251</f>
        <v>7134.1452000000008</v>
      </c>
    </row>
    <row r="252" spans="1:221" ht="25.5" customHeight="1" thickTop="1" thickBot="1">
      <c r="A252" s="77"/>
      <c r="B252" s="23"/>
      <c r="D252" s="23"/>
      <c r="E252" s="244" t="s">
        <v>6</v>
      </c>
      <c r="F252" s="246">
        <f t="shared" ref="F252:J252" si="47">SUM(F251)</f>
        <v>7343.9730000000009</v>
      </c>
      <c r="G252" s="246">
        <f t="shared" si="47"/>
        <v>209.82780000000002</v>
      </c>
      <c r="H252" s="246">
        <f t="shared" si="47"/>
        <v>0</v>
      </c>
      <c r="I252" s="246">
        <f t="shared" si="47"/>
        <v>0</v>
      </c>
      <c r="J252" s="246">
        <f t="shared" si="47"/>
        <v>0</v>
      </c>
      <c r="K252" s="246">
        <f>SUM(K251)</f>
        <v>7134.1452000000008</v>
      </c>
    </row>
    <row r="253" spans="1:221" ht="25.5" customHeight="1" thickBot="1">
      <c r="A253" s="77"/>
      <c r="B253" s="23"/>
      <c r="D253" s="110"/>
      <c r="E253" s="174" t="s">
        <v>329</v>
      </c>
      <c r="F253" s="175">
        <f>F252-[1]MADRE!$H$333</f>
        <v>0</v>
      </c>
      <c r="G253" s="175">
        <f>G252-[1]MADRE!$I$333</f>
        <v>0</v>
      </c>
      <c r="H253" s="175">
        <f>H252-[25]Hoja1!$J$341</f>
        <v>0</v>
      </c>
      <c r="I253" s="175">
        <f>I252-[25]Hoja1!$K$341</f>
        <v>0</v>
      </c>
      <c r="J253" s="175">
        <f>J252-[3]MADRE!$L$333</f>
        <v>0</v>
      </c>
      <c r="K253" s="175">
        <f>K252-[3]MADRE!$M$333</f>
        <v>0</v>
      </c>
    </row>
    <row r="254" spans="1:221" ht="15" customHeight="1">
      <c r="A254" s="60" t="s">
        <v>310</v>
      </c>
      <c r="B254" s="332"/>
      <c r="C254" s="141"/>
      <c r="D254" s="141"/>
      <c r="E254" s="44"/>
      <c r="F254" s="44"/>
      <c r="G254" s="44"/>
      <c r="H254" s="44"/>
      <c r="I254" s="44"/>
      <c r="J254" s="252"/>
      <c r="K254" s="44"/>
    </row>
    <row r="255" spans="1:221" ht="51" customHeight="1">
      <c r="A255" s="65" t="s">
        <v>198</v>
      </c>
      <c r="B255" s="23" t="s">
        <v>25</v>
      </c>
      <c r="C255" s="409" t="s">
        <v>319</v>
      </c>
      <c r="D255" s="154" t="s">
        <v>323</v>
      </c>
      <c r="E255" s="24" t="s">
        <v>202</v>
      </c>
      <c r="F255" s="171">
        <f>6592*1.04*1.05*1.05</f>
        <v>7558.387200000001</v>
      </c>
      <c r="G255" s="171">
        <f>220*1.04*1.05*1.05</f>
        <v>252.25200000000001</v>
      </c>
      <c r="H255" s="171"/>
      <c r="I255" s="171"/>
      <c r="J255" s="181"/>
      <c r="K255" s="171">
        <f>F255-G255+H255+J255</f>
        <v>7306.1352000000006</v>
      </c>
    </row>
    <row r="256" spans="1:221" ht="51" customHeight="1">
      <c r="A256" s="65" t="s">
        <v>646</v>
      </c>
      <c r="B256" s="24" t="s">
        <v>647</v>
      </c>
      <c r="C256" s="409" t="s">
        <v>319</v>
      </c>
      <c r="D256" s="147" t="s">
        <v>323</v>
      </c>
      <c r="E256" s="48" t="s">
        <v>140</v>
      </c>
      <c r="F256" s="171">
        <f>6700.72*1.05*1.05</f>
        <v>7387.5438000000004</v>
      </c>
      <c r="G256" s="171">
        <f>192.15*1.05*1.05</f>
        <v>211.84537500000002</v>
      </c>
      <c r="H256" s="171">
        <v>183</v>
      </c>
      <c r="I256" s="171"/>
      <c r="J256" s="181"/>
      <c r="K256" s="171">
        <f>F256-G256+H256+J256</f>
        <v>7358.6984250000005</v>
      </c>
    </row>
    <row r="257" spans="1:11" ht="51" customHeight="1">
      <c r="A257" s="65" t="s">
        <v>199</v>
      </c>
      <c r="B257" s="23" t="s">
        <v>68</v>
      </c>
      <c r="C257" s="409" t="s">
        <v>319</v>
      </c>
      <c r="D257" s="38" t="s">
        <v>323</v>
      </c>
      <c r="E257" s="23" t="s">
        <v>203</v>
      </c>
      <c r="F257" s="171">
        <f>5853*1.04*1.05*1.05</f>
        <v>6711.0498000000007</v>
      </c>
      <c r="G257" s="171">
        <f>183*1.04*1.05*1.05</f>
        <v>209.82780000000002</v>
      </c>
      <c r="H257" s="171"/>
      <c r="I257" s="171"/>
      <c r="J257" s="181"/>
      <c r="K257" s="171">
        <f>F257-G257+H257+J257</f>
        <v>6501.2220000000007</v>
      </c>
    </row>
    <row r="258" spans="1:11" ht="51" customHeight="1">
      <c r="A258" s="97" t="s">
        <v>200</v>
      </c>
      <c r="B258" s="37" t="s">
        <v>26</v>
      </c>
      <c r="C258" s="409" t="s">
        <v>319</v>
      </c>
      <c r="D258" s="319" t="s">
        <v>323</v>
      </c>
      <c r="E258" s="23" t="s">
        <v>203</v>
      </c>
      <c r="F258" s="171">
        <f>4977*1.04*1.05*1.05</f>
        <v>5706.6282000000001</v>
      </c>
      <c r="G258" s="171"/>
      <c r="H258" s="171">
        <v>90</v>
      </c>
      <c r="I258" s="171"/>
      <c r="J258" s="181"/>
      <c r="K258" s="171">
        <f t="shared" ref="K258:K261" si="48">F258-G258+H258+J258</f>
        <v>5796.6282000000001</v>
      </c>
    </row>
    <row r="259" spans="1:11" ht="51" customHeight="1">
      <c r="A259" s="98" t="s">
        <v>201</v>
      </c>
      <c r="B259" s="37" t="s">
        <v>27</v>
      </c>
      <c r="C259" s="413" t="s">
        <v>319</v>
      </c>
      <c r="D259" s="45" t="s">
        <v>323</v>
      </c>
      <c r="E259" s="41" t="s">
        <v>203</v>
      </c>
      <c r="F259" s="171">
        <f>4977*1.04*1.05*1.05</f>
        <v>5706.6282000000001</v>
      </c>
      <c r="G259" s="171"/>
      <c r="H259" s="209">
        <v>90</v>
      </c>
      <c r="I259" s="208"/>
      <c r="J259" s="181"/>
      <c r="K259" s="171">
        <f t="shared" si="48"/>
        <v>5796.6282000000001</v>
      </c>
    </row>
    <row r="260" spans="1:11" ht="51" customHeight="1">
      <c r="A260" s="63" t="s">
        <v>405</v>
      </c>
      <c r="B260" s="39" t="s">
        <v>374</v>
      </c>
      <c r="C260" s="40" t="s">
        <v>319</v>
      </c>
      <c r="D260" s="23" t="s">
        <v>323</v>
      </c>
      <c r="E260" s="23" t="s">
        <v>360</v>
      </c>
      <c r="F260" s="171">
        <f>3709*1.04*1.05*1.05</f>
        <v>4252.7394000000004</v>
      </c>
      <c r="G260" s="171"/>
      <c r="H260" s="240">
        <v>95</v>
      </c>
      <c r="I260" s="241"/>
      <c r="J260" s="181"/>
      <c r="K260" s="171">
        <f t="shared" si="48"/>
        <v>4347.7394000000004</v>
      </c>
    </row>
    <row r="261" spans="1:11" ht="51" customHeight="1" thickBot="1">
      <c r="A261" s="63" t="s">
        <v>505</v>
      </c>
      <c r="B261" s="39" t="s">
        <v>586</v>
      </c>
      <c r="C261" s="40" t="s">
        <v>319</v>
      </c>
      <c r="D261" s="23" t="s">
        <v>469</v>
      </c>
      <c r="E261" s="23" t="s">
        <v>506</v>
      </c>
      <c r="F261" s="171">
        <f>4977*1.04*1.05*1.05</f>
        <v>5706.6282000000001</v>
      </c>
      <c r="G261" s="171"/>
      <c r="H261" s="240">
        <v>90</v>
      </c>
      <c r="I261" s="241"/>
      <c r="J261" s="181"/>
      <c r="K261" s="171">
        <f t="shared" si="48"/>
        <v>5796.6282000000001</v>
      </c>
    </row>
    <row r="262" spans="1:11" ht="25.5" customHeight="1" thickTop="1" thickBot="1">
      <c r="A262" s="65"/>
      <c r="B262" s="23"/>
      <c r="D262" s="124"/>
      <c r="E262" s="244" t="s">
        <v>6</v>
      </c>
      <c r="F262" s="247">
        <f t="shared" ref="F262:J262" si="49">SUM(F255:F261)</f>
        <v>43029.604800000001</v>
      </c>
      <c r="G262" s="247">
        <f t="shared" si="49"/>
        <v>673.92517500000008</v>
      </c>
      <c r="H262" s="247">
        <f t="shared" si="49"/>
        <v>548</v>
      </c>
      <c r="I262" s="247">
        <f t="shared" si="49"/>
        <v>0</v>
      </c>
      <c r="J262" s="247">
        <f t="shared" si="49"/>
        <v>0</v>
      </c>
      <c r="K262" s="247">
        <f>SUM(K255:K261)</f>
        <v>42903.679624999997</v>
      </c>
    </row>
    <row r="263" spans="1:11" ht="25.5" customHeight="1" thickBot="1">
      <c r="A263" s="65"/>
      <c r="B263" s="23"/>
      <c r="D263" s="110"/>
      <c r="E263" s="174" t="s">
        <v>329</v>
      </c>
      <c r="F263" s="175">
        <f>F262-[1]MADRE!$H$343</f>
        <v>0</v>
      </c>
      <c r="G263" s="175">
        <f>G262-[1]MADRE!$I$343</f>
        <v>0</v>
      </c>
      <c r="H263" s="175">
        <f>H262-[26]MADRE!$J$354</f>
        <v>0</v>
      </c>
      <c r="I263" s="175">
        <f>I262-[2]MADRE!K$352</f>
        <v>0</v>
      </c>
      <c r="J263" s="175">
        <f>J262-[3]MADRE!$L$343</f>
        <v>0</v>
      </c>
      <c r="K263" s="175">
        <f>K262-[3]MADRE!$M$343</f>
        <v>0</v>
      </c>
    </row>
    <row r="264" spans="1:11" ht="15" customHeight="1">
      <c r="A264" s="60" t="s">
        <v>308</v>
      </c>
      <c r="B264" s="332"/>
      <c r="C264" s="141"/>
      <c r="D264" s="141"/>
      <c r="E264" s="44"/>
      <c r="F264" s="44"/>
      <c r="G264" s="44"/>
      <c r="H264" s="44"/>
      <c r="I264" s="44"/>
      <c r="J264" s="252"/>
      <c r="K264" s="44"/>
    </row>
    <row r="265" spans="1:11" ht="40.5" customHeight="1">
      <c r="A265" s="65" t="s">
        <v>507</v>
      </c>
      <c r="B265" s="24" t="s">
        <v>587</v>
      </c>
      <c r="C265" s="40" t="s">
        <v>319</v>
      </c>
      <c r="D265" s="23" t="s">
        <v>323</v>
      </c>
      <c r="E265" s="24" t="s">
        <v>266</v>
      </c>
      <c r="F265" s="172">
        <f>5936*1.04*1.05*1.05</f>
        <v>6806.2176000000018</v>
      </c>
      <c r="G265" s="172">
        <f>183*1.04*1.05*1.05</f>
        <v>209.82780000000002</v>
      </c>
      <c r="H265" s="172"/>
      <c r="I265" s="172"/>
      <c r="J265" s="173"/>
      <c r="K265" s="171">
        <f>F265-G265+H265+J265</f>
        <v>6596.3898000000017</v>
      </c>
    </row>
    <row r="266" spans="1:11" ht="40.5" customHeight="1">
      <c r="A266" s="65" t="s">
        <v>204</v>
      </c>
      <c r="B266" s="24" t="s">
        <v>588</v>
      </c>
      <c r="C266" s="409" t="s">
        <v>319</v>
      </c>
      <c r="D266" s="40" t="s">
        <v>323</v>
      </c>
      <c r="E266" s="24" t="s">
        <v>206</v>
      </c>
      <c r="F266" s="171">
        <f>4756*1.04*1.05*1.05</f>
        <v>5453.2295999999997</v>
      </c>
      <c r="G266" s="171">
        <f>183*1.05*1.05</f>
        <v>201.75750000000002</v>
      </c>
      <c r="H266" s="171">
        <v>90</v>
      </c>
      <c r="I266" s="171"/>
      <c r="J266" s="173"/>
      <c r="K266" s="171">
        <f>F266-G266+H266+J266</f>
        <v>5341.4721</v>
      </c>
    </row>
    <row r="267" spans="1:11" ht="40.5" customHeight="1" thickBot="1">
      <c r="A267" s="65" t="s">
        <v>205</v>
      </c>
      <c r="B267" s="24" t="s">
        <v>28</v>
      </c>
      <c r="C267" s="409" t="s">
        <v>319</v>
      </c>
      <c r="D267" s="40" t="s">
        <v>323</v>
      </c>
      <c r="E267" s="23" t="s">
        <v>142</v>
      </c>
      <c r="F267" s="171">
        <f>4067*1.04*1.05*1.05</f>
        <v>4663.2222000000011</v>
      </c>
      <c r="G267" s="171"/>
      <c r="H267" s="171">
        <v>110</v>
      </c>
      <c r="I267" s="171"/>
      <c r="J267" s="173"/>
      <c r="K267" s="171">
        <f>F267-G267+H267+J267</f>
        <v>4773.2222000000011</v>
      </c>
    </row>
    <row r="268" spans="1:11" ht="25.5" customHeight="1" thickTop="1" thickBot="1">
      <c r="A268" s="65"/>
      <c r="B268" s="23"/>
      <c r="D268" s="40"/>
      <c r="E268" s="244" t="s">
        <v>6</v>
      </c>
      <c r="F268" s="247">
        <f t="shared" ref="F268:J268" si="50">SUM(F265:F267)</f>
        <v>16922.669400000002</v>
      </c>
      <c r="G268" s="247">
        <f t="shared" si="50"/>
        <v>411.58530000000007</v>
      </c>
      <c r="H268" s="247">
        <f t="shared" si="50"/>
        <v>200</v>
      </c>
      <c r="I268" s="247">
        <f t="shared" si="50"/>
        <v>0</v>
      </c>
      <c r="J268" s="247">
        <f t="shared" si="50"/>
        <v>0</v>
      </c>
      <c r="K268" s="247">
        <f>SUM(K265:K267)</f>
        <v>16711.084100000004</v>
      </c>
    </row>
    <row r="269" spans="1:11" ht="28.5" customHeight="1" thickBot="1">
      <c r="A269" s="65"/>
      <c r="B269" s="23"/>
      <c r="D269" s="110"/>
      <c r="E269" s="174" t="s">
        <v>329</v>
      </c>
      <c r="F269" s="175">
        <f>F268-[1]MADRE!$H$349</f>
        <v>0</v>
      </c>
      <c r="G269" s="175">
        <f>G268-[1]MADRE!$I$349</f>
        <v>0</v>
      </c>
      <c r="H269" s="175">
        <f>H268-[2]MADRE!J$358</f>
        <v>0</v>
      </c>
      <c r="I269" s="175">
        <f>I268-[2]MADRE!K$358</f>
        <v>0</v>
      </c>
      <c r="J269" s="175">
        <f>J268-[3]MADRE!$L$349</f>
        <v>0</v>
      </c>
      <c r="K269" s="175">
        <f>K268-[3]MADRE!$M$349</f>
        <v>0</v>
      </c>
    </row>
    <row r="270" spans="1:11" ht="15" customHeight="1">
      <c r="A270" s="60" t="s">
        <v>309</v>
      </c>
      <c r="B270" s="332"/>
      <c r="C270" s="141"/>
      <c r="D270" s="141"/>
      <c r="E270" s="44"/>
      <c r="F270" s="44"/>
      <c r="G270" s="44"/>
      <c r="H270" s="44"/>
      <c r="I270" s="44"/>
      <c r="J270" s="252"/>
      <c r="K270" s="44"/>
    </row>
    <row r="271" spans="1:11" ht="40.5" customHeight="1">
      <c r="A271" s="63" t="s">
        <v>213</v>
      </c>
      <c r="B271" s="23" t="s">
        <v>41</v>
      </c>
      <c r="C271" s="409" t="s">
        <v>319</v>
      </c>
      <c r="D271" s="131" t="s">
        <v>323</v>
      </c>
      <c r="E271" s="23" t="s">
        <v>210</v>
      </c>
      <c r="F271" s="171">
        <f>4410*1.05*1.05*1.05</f>
        <v>5105.1262500000012</v>
      </c>
      <c r="G271" s="171"/>
      <c r="H271" s="171">
        <v>90</v>
      </c>
      <c r="I271" s="171"/>
      <c r="J271" s="181"/>
      <c r="K271" s="171">
        <f>F271-G271+H271+I271+J271</f>
        <v>5195.1262500000012</v>
      </c>
    </row>
    <row r="272" spans="1:11" ht="40.5" customHeight="1">
      <c r="A272" s="63" t="s">
        <v>216</v>
      </c>
      <c r="B272" s="23" t="s">
        <v>38</v>
      </c>
      <c r="C272" s="409" t="s">
        <v>319</v>
      </c>
      <c r="D272" s="117" t="s">
        <v>323</v>
      </c>
      <c r="E272" s="54" t="s">
        <v>210</v>
      </c>
      <c r="F272" s="171">
        <f>4866*1.05*1.05</f>
        <v>5364.7650000000003</v>
      </c>
      <c r="G272" s="171"/>
      <c r="H272" s="171">
        <v>90</v>
      </c>
      <c r="I272" s="171"/>
      <c r="J272" s="181"/>
      <c r="K272" s="171">
        <f t="shared" ref="K272:K287" si="51">F272-G272+H272+I272+J272</f>
        <v>5454.7650000000003</v>
      </c>
    </row>
    <row r="273" spans="1:221" ht="40.5" customHeight="1">
      <c r="A273" s="63" t="s">
        <v>217</v>
      </c>
      <c r="B273" s="23" t="s">
        <v>37</v>
      </c>
      <c r="C273" s="409" t="s">
        <v>319</v>
      </c>
      <c r="D273" s="45" t="s">
        <v>323</v>
      </c>
      <c r="E273" s="55" t="s">
        <v>185</v>
      </c>
      <c r="F273" s="171">
        <f>4701*1.05*1.05*1.054</f>
        <v>5462.7265349999998</v>
      </c>
      <c r="G273" s="171"/>
      <c r="H273" s="171">
        <v>90</v>
      </c>
      <c r="I273" s="171"/>
      <c r="J273" s="181"/>
      <c r="K273" s="171">
        <f t="shared" si="51"/>
        <v>5552.7265349999998</v>
      </c>
    </row>
    <row r="274" spans="1:221" ht="40.5" customHeight="1">
      <c r="A274" s="63" t="s">
        <v>218</v>
      </c>
      <c r="B274" s="23" t="s">
        <v>36</v>
      </c>
      <c r="C274" s="409" t="s">
        <v>319</v>
      </c>
      <c r="D274" s="38" t="s">
        <v>323</v>
      </c>
      <c r="E274" s="23" t="s">
        <v>210</v>
      </c>
      <c r="F274" s="171">
        <f>4415*1.05*1.05*1.05</f>
        <v>5110.9143750000003</v>
      </c>
      <c r="G274" s="171"/>
      <c r="H274" s="171">
        <v>90</v>
      </c>
      <c r="I274" s="171"/>
      <c r="J274" s="181"/>
      <c r="K274" s="171">
        <f t="shared" si="51"/>
        <v>5200.9143750000003</v>
      </c>
    </row>
    <row r="275" spans="1:221" ht="40.5" customHeight="1">
      <c r="A275" s="99" t="s">
        <v>219</v>
      </c>
      <c r="B275" s="36" t="s">
        <v>35</v>
      </c>
      <c r="C275" s="409" t="s">
        <v>319</v>
      </c>
      <c r="D275" s="37" t="s">
        <v>323</v>
      </c>
      <c r="E275" s="36" t="s">
        <v>210</v>
      </c>
      <c r="F275" s="171">
        <f>4635.75*1.05*1.05</f>
        <v>5110.9143750000003</v>
      </c>
      <c r="G275" s="171"/>
      <c r="H275" s="185">
        <v>90</v>
      </c>
      <c r="I275" s="186"/>
      <c r="J275" s="181"/>
      <c r="K275" s="171">
        <f t="shared" si="51"/>
        <v>5200.9143750000003</v>
      </c>
    </row>
    <row r="276" spans="1:221" ht="40.5" customHeight="1">
      <c r="A276" s="100" t="s">
        <v>381</v>
      </c>
      <c r="B276" s="38" t="s">
        <v>382</v>
      </c>
      <c r="C276" s="257" t="s">
        <v>319</v>
      </c>
      <c r="D276" s="146" t="s">
        <v>323</v>
      </c>
      <c r="E276" s="53" t="s">
        <v>210</v>
      </c>
      <c r="F276" s="171">
        <f>3351*1.05*1.05*1.05</f>
        <v>3879.2013750000006</v>
      </c>
      <c r="G276" s="171"/>
      <c r="H276" s="171">
        <v>165</v>
      </c>
      <c r="I276" s="184"/>
      <c r="J276" s="181"/>
      <c r="K276" s="171">
        <f t="shared" si="51"/>
        <v>4044.2013750000006</v>
      </c>
    </row>
    <row r="277" spans="1:221" ht="40.5" customHeight="1">
      <c r="A277" s="101" t="s">
        <v>221</v>
      </c>
      <c r="B277" s="38" t="s">
        <v>33</v>
      </c>
      <c r="C277" s="409" t="s">
        <v>319</v>
      </c>
      <c r="D277" s="146" t="s">
        <v>323</v>
      </c>
      <c r="E277" s="162" t="s">
        <v>211</v>
      </c>
      <c r="F277" s="171">
        <f>4707*1.05*1.05*1.05</f>
        <v>5448.9408750000011</v>
      </c>
      <c r="G277" s="171"/>
      <c r="H277" s="171">
        <v>90</v>
      </c>
      <c r="I277" s="184"/>
      <c r="J277" s="181"/>
      <c r="K277" s="171">
        <f t="shared" si="51"/>
        <v>5538.9408750000011</v>
      </c>
    </row>
    <row r="278" spans="1:221" s="15" customFormat="1" ht="40.5" customHeight="1">
      <c r="A278" s="102" t="s">
        <v>223</v>
      </c>
      <c r="B278" s="338"/>
      <c r="C278" s="418" t="s">
        <v>321</v>
      </c>
      <c r="D278" s="156" t="s">
        <v>323</v>
      </c>
      <c r="E278" s="290" t="s">
        <v>212</v>
      </c>
      <c r="F278" s="291">
        <f>2000*1.05*1.05*1.05</f>
        <v>2315.25</v>
      </c>
      <c r="G278" s="291"/>
      <c r="H278" s="292">
        <v>165</v>
      </c>
      <c r="I278" s="293"/>
      <c r="J278" s="181"/>
      <c r="K278" s="171">
        <f t="shared" si="51"/>
        <v>2480.25</v>
      </c>
    </row>
    <row r="279" spans="1:221" ht="40.5" customHeight="1">
      <c r="A279" s="103" t="s">
        <v>234</v>
      </c>
      <c r="B279" s="45" t="s">
        <v>116</v>
      </c>
      <c r="C279" s="41" t="s">
        <v>319</v>
      </c>
      <c r="D279" s="157" t="s">
        <v>323</v>
      </c>
      <c r="E279" s="118" t="s">
        <v>210</v>
      </c>
      <c r="F279" s="171">
        <f>4200*1.05*1.05</f>
        <v>4630.5</v>
      </c>
      <c r="G279" s="171"/>
      <c r="H279" s="208">
        <v>111</v>
      </c>
      <c r="I279" s="189"/>
      <c r="J279" s="181"/>
      <c r="K279" s="171">
        <f t="shared" si="51"/>
        <v>4741.5</v>
      </c>
    </row>
    <row r="280" spans="1:221" ht="40.5" customHeight="1">
      <c r="A280" s="65" t="s">
        <v>224</v>
      </c>
      <c r="B280" s="38" t="s">
        <v>32</v>
      </c>
      <c r="C280" s="409" t="s">
        <v>319</v>
      </c>
      <c r="D280" s="155" t="s">
        <v>323</v>
      </c>
      <c r="E280" s="146" t="s">
        <v>185</v>
      </c>
      <c r="F280" s="171">
        <f>4942*1.05*1.05</f>
        <v>5448.5550000000003</v>
      </c>
      <c r="G280" s="171"/>
      <c r="H280" s="171">
        <f>H390</f>
        <v>90</v>
      </c>
      <c r="I280" s="171"/>
      <c r="J280" s="181"/>
      <c r="K280" s="171">
        <f t="shared" si="51"/>
        <v>5538.5550000000003</v>
      </c>
    </row>
    <row r="281" spans="1:221" ht="40.5" customHeight="1">
      <c r="A281" s="98" t="s">
        <v>233</v>
      </c>
      <c r="B281" s="37" t="s">
        <v>47</v>
      </c>
      <c r="C281" s="36" t="s">
        <v>319</v>
      </c>
      <c r="D281" s="53" t="s">
        <v>323</v>
      </c>
      <c r="E281" s="118" t="s">
        <v>262</v>
      </c>
      <c r="F281" s="171">
        <f>6019*1.05*1.05*1.05</f>
        <v>6967.7448750000003</v>
      </c>
      <c r="G281" s="171">
        <f>183*1.05*1.05*1.05</f>
        <v>211.84537500000002</v>
      </c>
      <c r="H281" s="183"/>
      <c r="I281" s="183"/>
      <c r="J281" s="181"/>
      <c r="K281" s="171">
        <f>F281-G281+H281+I281+J281</f>
        <v>6755.8995000000004</v>
      </c>
    </row>
    <row r="282" spans="1:221" ht="40.5" customHeight="1">
      <c r="A282" s="87" t="s">
        <v>354</v>
      </c>
      <c r="B282" s="45" t="s">
        <v>355</v>
      </c>
      <c r="C282" s="40" t="s">
        <v>319</v>
      </c>
      <c r="D282" s="40" t="s">
        <v>323</v>
      </c>
      <c r="E282" s="48" t="s">
        <v>184</v>
      </c>
      <c r="F282" s="171">
        <f>4415*1.05*1.05*1.05</f>
        <v>5110.9143750000003</v>
      </c>
      <c r="G282" s="171"/>
      <c r="H282" s="171">
        <v>90</v>
      </c>
      <c r="I282" s="171"/>
      <c r="J282" s="181"/>
      <c r="K282" s="171">
        <f t="shared" si="51"/>
        <v>5200.9143750000003</v>
      </c>
    </row>
    <row r="283" spans="1:221" ht="40.5" customHeight="1">
      <c r="A283" s="83" t="s">
        <v>358</v>
      </c>
      <c r="B283" s="41" t="s">
        <v>359</v>
      </c>
      <c r="C283" s="413" t="s">
        <v>319</v>
      </c>
      <c r="D283" s="132" t="s">
        <v>323</v>
      </c>
      <c r="E283" s="248" t="s">
        <v>362</v>
      </c>
      <c r="F283" s="171">
        <f>4415*1.05*1.05*1.05</f>
        <v>5110.9143750000003</v>
      </c>
      <c r="G283" s="171"/>
      <c r="H283" s="171">
        <v>90</v>
      </c>
      <c r="I283" s="171"/>
      <c r="J283" s="181"/>
      <c r="K283" s="171">
        <f t="shared" si="51"/>
        <v>5200.9143750000003</v>
      </c>
    </row>
    <row r="284" spans="1:221" ht="40.5" customHeight="1">
      <c r="A284" s="63" t="s">
        <v>376</v>
      </c>
      <c r="B284" s="40" t="s">
        <v>377</v>
      </c>
      <c r="C284" s="40" t="s">
        <v>319</v>
      </c>
      <c r="D284" s="40" t="s">
        <v>323</v>
      </c>
      <c r="E284" s="39" t="s">
        <v>366</v>
      </c>
      <c r="F284" s="171">
        <f>3891.5*1.05</f>
        <v>4086.0750000000003</v>
      </c>
      <c r="G284" s="171"/>
      <c r="H284" s="171">
        <v>95</v>
      </c>
      <c r="I284" s="171"/>
      <c r="J284" s="181"/>
      <c r="K284" s="171">
        <f t="shared" si="51"/>
        <v>4181.0750000000007</v>
      </c>
    </row>
    <row r="285" spans="1:221" ht="40.5" customHeight="1">
      <c r="A285" s="63" t="s">
        <v>378</v>
      </c>
      <c r="B285" s="40" t="s">
        <v>379</v>
      </c>
      <c r="C285" s="40" t="s">
        <v>319</v>
      </c>
      <c r="D285" s="40" t="s">
        <v>323</v>
      </c>
      <c r="E285" s="39" t="s">
        <v>366</v>
      </c>
      <c r="F285" s="171">
        <f>4415*1.05*1.05*1.05</f>
        <v>5110.9143750000003</v>
      </c>
      <c r="G285" s="171"/>
      <c r="H285" s="171">
        <v>90</v>
      </c>
      <c r="I285" s="171"/>
      <c r="J285" s="181"/>
      <c r="K285" s="171">
        <f t="shared" si="51"/>
        <v>5200.9143750000003</v>
      </c>
    </row>
    <row r="286" spans="1:221" s="14" customFormat="1" ht="51" customHeight="1">
      <c r="A286" s="96" t="s">
        <v>439</v>
      </c>
      <c r="B286" s="24" t="s">
        <v>440</v>
      </c>
      <c r="C286" s="40" t="s">
        <v>319</v>
      </c>
      <c r="D286" s="40" t="s">
        <v>323</v>
      </c>
      <c r="E286" s="39" t="s">
        <v>366</v>
      </c>
      <c r="F286" s="171">
        <f>3990*1.05</f>
        <v>4189.5</v>
      </c>
      <c r="G286" s="171"/>
      <c r="H286" s="172">
        <v>90</v>
      </c>
      <c r="I286" s="172"/>
      <c r="J286" s="181"/>
      <c r="K286" s="171">
        <f>F286-G286+H286+J286</f>
        <v>4279.5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</row>
    <row r="287" spans="1:221" ht="40.5" customHeight="1" thickBot="1">
      <c r="A287" s="65" t="s">
        <v>412</v>
      </c>
      <c r="B287" s="23" t="s">
        <v>413</v>
      </c>
      <c r="C287" s="40" t="s">
        <v>319</v>
      </c>
      <c r="D287" s="40" t="s">
        <v>323</v>
      </c>
      <c r="E287" s="24" t="s">
        <v>366</v>
      </c>
      <c r="F287" s="171">
        <f>3520*1.05*1.05*1.05</f>
        <v>4074.84</v>
      </c>
      <c r="G287" s="171"/>
      <c r="H287" s="171">
        <v>90</v>
      </c>
      <c r="I287" s="171"/>
      <c r="J287" s="181"/>
      <c r="K287" s="171">
        <f t="shared" si="51"/>
        <v>4164.84</v>
      </c>
    </row>
    <row r="288" spans="1:221" ht="25.5" customHeight="1" thickTop="1" thickBot="1">
      <c r="A288" s="63"/>
      <c r="B288" s="40"/>
      <c r="D288" s="40"/>
      <c r="E288" s="244" t="s">
        <v>6</v>
      </c>
      <c r="F288" s="247">
        <f t="shared" ref="F288:J288" si="52">SUM(F271:F287)</f>
        <v>82527.796785000013</v>
      </c>
      <c r="G288" s="247">
        <f t="shared" si="52"/>
        <v>211.84537500000002</v>
      </c>
      <c r="H288" s="247">
        <f t="shared" si="52"/>
        <v>1616</v>
      </c>
      <c r="I288" s="247">
        <f t="shared" si="52"/>
        <v>0</v>
      </c>
      <c r="J288" s="247">
        <f t="shared" si="52"/>
        <v>0</v>
      </c>
      <c r="K288" s="247">
        <f>SUM(K271:K287)</f>
        <v>83931.951410000009</v>
      </c>
    </row>
    <row r="289" spans="1:11" ht="25.5" customHeight="1" thickBot="1">
      <c r="A289" s="63"/>
      <c r="B289" s="40"/>
      <c r="D289" s="110"/>
      <c r="E289" s="174" t="s">
        <v>329</v>
      </c>
      <c r="F289" s="175">
        <f>F288-[3]MADRE!$H$369</f>
        <v>0</v>
      </c>
      <c r="G289" s="175">
        <f>G288-[1]MADRE!$I$369</f>
        <v>0</v>
      </c>
      <c r="H289" s="175">
        <f>H288-[3]MADRE!$J$369</f>
        <v>0</v>
      </c>
      <c r="I289" s="175">
        <f>I288-[2]MADRE!$K$378</f>
        <v>0</v>
      </c>
      <c r="J289" s="175">
        <f>J288-[3]MADRE!$L$369</f>
        <v>0</v>
      </c>
      <c r="K289" s="175">
        <f>K288-[3]MADRE!$M$369</f>
        <v>0</v>
      </c>
    </row>
    <row r="290" spans="1:11" ht="15" customHeight="1">
      <c r="A290" s="60" t="s">
        <v>311</v>
      </c>
      <c r="B290" s="332"/>
      <c r="C290" s="141"/>
      <c r="D290" s="141"/>
      <c r="E290" s="44"/>
      <c r="F290" s="44"/>
      <c r="G290" s="44"/>
      <c r="H290" s="44"/>
      <c r="I290" s="44"/>
      <c r="J290" s="252"/>
      <c r="K290" s="44"/>
    </row>
    <row r="291" spans="1:11" ht="51" customHeight="1">
      <c r="A291" s="65" t="s">
        <v>237</v>
      </c>
      <c r="B291" s="23" t="s">
        <v>49</v>
      </c>
      <c r="C291" s="409" t="s">
        <v>319</v>
      </c>
      <c r="D291" s="53" t="s">
        <v>323</v>
      </c>
      <c r="E291" s="24" t="s">
        <v>263</v>
      </c>
      <c r="F291" s="171">
        <f>6272*1.04*1.05*1.05</f>
        <v>7191.4752000000008</v>
      </c>
      <c r="G291" s="171">
        <f>183*1.04*1.05*1.05</f>
        <v>209.82780000000002</v>
      </c>
      <c r="H291" s="171"/>
      <c r="I291" s="171"/>
      <c r="J291" s="181"/>
      <c r="K291" s="171">
        <f t="shared" ref="K291:K298" si="53">F291-G291+H291+J291</f>
        <v>6981.6474000000007</v>
      </c>
    </row>
    <row r="292" spans="1:11" ht="51" customHeight="1">
      <c r="A292" s="63" t="s">
        <v>231</v>
      </c>
      <c r="B292" s="40" t="s">
        <v>124</v>
      </c>
      <c r="C292" s="409" t="s">
        <v>319</v>
      </c>
      <c r="D292" s="146" t="s">
        <v>323</v>
      </c>
      <c r="E292" s="39" t="s">
        <v>225</v>
      </c>
      <c r="F292" s="171">
        <f>4415*1.05*1.05*1.05</f>
        <v>5110.9143750000003</v>
      </c>
      <c r="G292" s="171"/>
      <c r="H292" s="171">
        <v>90</v>
      </c>
      <c r="I292" s="171"/>
      <c r="J292" s="181"/>
      <c r="K292" s="171">
        <f t="shared" si="53"/>
        <v>5200.9143750000003</v>
      </c>
    </row>
    <row r="293" spans="1:11" ht="51" customHeight="1">
      <c r="A293" s="65" t="s">
        <v>236</v>
      </c>
      <c r="B293" s="23" t="s">
        <v>48</v>
      </c>
      <c r="C293" s="409" t="s">
        <v>319</v>
      </c>
      <c r="D293" s="38" t="s">
        <v>323</v>
      </c>
      <c r="E293" s="39" t="s">
        <v>225</v>
      </c>
      <c r="F293" s="171">
        <f>4415*1.05*1.05*1.05</f>
        <v>5110.9143750000003</v>
      </c>
      <c r="G293" s="249"/>
      <c r="H293" s="249">
        <v>90</v>
      </c>
      <c r="I293" s="249"/>
      <c r="J293" s="181"/>
      <c r="K293" s="171">
        <f t="shared" si="53"/>
        <v>5200.9143750000003</v>
      </c>
    </row>
    <row r="294" spans="1:11" s="4" customFormat="1" ht="51" customHeight="1">
      <c r="A294" s="88" t="s">
        <v>229</v>
      </c>
      <c r="B294" s="51" t="s">
        <v>44</v>
      </c>
      <c r="C294" s="409" t="s">
        <v>319</v>
      </c>
      <c r="D294" s="37" t="s">
        <v>323</v>
      </c>
      <c r="E294" s="149" t="s">
        <v>226</v>
      </c>
      <c r="F294" s="171">
        <f>5267.54*1.05</f>
        <v>5530.9170000000004</v>
      </c>
      <c r="G294" s="171"/>
      <c r="H294" s="185">
        <v>90</v>
      </c>
      <c r="I294" s="186"/>
      <c r="J294" s="181"/>
      <c r="K294" s="171">
        <f t="shared" si="53"/>
        <v>5620.9170000000004</v>
      </c>
    </row>
    <row r="295" spans="1:11" s="4" customFormat="1" ht="51" customHeight="1">
      <c r="A295" s="63" t="s">
        <v>230</v>
      </c>
      <c r="B295" s="52" t="s">
        <v>115</v>
      </c>
      <c r="C295" s="36" t="s">
        <v>319</v>
      </c>
      <c r="D295" s="37" t="s">
        <v>323</v>
      </c>
      <c r="E295" s="128" t="s">
        <v>264</v>
      </c>
      <c r="F295" s="171">
        <f>4415*1.05*1.05*1.05</f>
        <v>5110.9143750000003</v>
      </c>
      <c r="G295" s="171"/>
      <c r="H295" s="171">
        <v>90</v>
      </c>
      <c r="I295" s="171"/>
      <c r="J295" s="181"/>
      <c r="K295" s="171">
        <f t="shared" si="53"/>
        <v>5200.9143750000003</v>
      </c>
    </row>
    <row r="296" spans="1:11" s="4" customFormat="1" ht="51" customHeight="1">
      <c r="A296" s="83" t="s">
        <v>180</v>
      </c>
      <c r="B296" s="41" t="s">
        <v>94</v>
      </c>
      <c r="C296" s="41" t="s">
        <v>319</v>
      </c>
      <c r="D296" s="45" t="s">
        <v>323</v>
      </c>
      <c r="E296" s="55" t="s">
        <v>360</v>
      </c>
      <c r="F296" s="171">
        <f>4817*1.04*1.05*1.05</f>
        <v>5523.1722000000009</v>
      </c>
      <c r="G296" s="218">
        <f>99*1.04*1.05*1.05</f>
        <v>113.51340000000002</v>
      </c>
      <c r="H296" s="208"/>
      <c r="I296" s="189"/>
      <c r="J296" s="181"/>
      <c r="K296" s="171">
        <f t="shared" si="53"/>
        <v>5409.6588000000011</v>
      </c>
    </row>
    <row r="297" spans="1:11" s="4" customFormat="1" ht="51" customHeight="1">
      <c r="A297" s="63" t="s">
        <v>463</v>
      </c>
      <c r="B297" s="40" t="s">
        <v>464</v>
      </c>
      <c r="C297" s="416" t="s">
        <v>319</v>
      </c>
      <c r="D297" s="38" t="s">
        <v>323</v>
      </c>
      <c r="E297" s="225" t="s">
        <v>360</v>
      </c>
      <c r="F297" s="171">
        <f>3872.82*1.05</f>
        <v>4066.4610000000002</v>
      </c>
      <c r="G297" s="171"/>
      <c r="H297" s="171">
        <v>120</v>
      </c>
      <c r="I297" s="171"/>
      <c r="J297" s="181"/>
      <c r="K297" s="171">
        <f t="shared" si="53"/>
        <v>4186.4610000000002</v>
      </c>
    </row>
    <row r="298" spans="1:11" s="4" customFormat="1" ht="51" customHeight="1" thickBot="1">
      <c r="A298" s="63" t="s">
        <v>470</v>
      </c>
      <c r="B298" s="40" t="s">
        <v>471</v>
      </c>
      <c r="C298" s="416" t="s">
        <v>319</v>
      </c>
      <c r="D298" s="38" t="s">
        <v>323</v>
      </c>
      <c r="E298" s="125" t="s">
        <v>671</v>
      </c>
      <c r="F298" s="171">
        <f>7138.92*1.05</f>
        <v>7495.866</v>
      </c>
      <c r="G298" s="171">
        <f>126*1.05*1.05*1.05</f>
        <v>145.86075000000002</v>
      </c>
      <c r="H298" s="171"/>
      <c r="I298" s="171"/>
      <c r="J298" s="181"/>
      <c r="K298" s="171">
        <f t="shared" si="53"/>
        <v>7350.0052500000002</v>
      </c>
    </row>
    <row r="299" spans="1:11" s="4" customFormat="1" ht="25.5" customHeight="1" thickTop="1" thickBot="1">
      <c r="A299" s="65"/>
      <c r="B299" s="23"/>
      <c r="C299" s="40"/>
      <c r="D299" s="38"/>
      <c r="E299" s="244" t="s">
        <v>6</v>
      </c>
      <c r="F299" s="247">
        <f>SUM(F291:F298)</f>
        <v>45140.634525000009</v>
      </c>
      <c r="G299" s="247">
        <f t="shared" ref="G299:J299" si="54">SUM(G291:G298)</f>
        <v>469.20195000000012</v>
      </c>
      <c r="H299" s="247">
        <f t="shared" si="54"/>
        <v>480</v>
      </c>
      <c r="I299" s="247">
        <f t="shared" si="54"/>
        <v>0</v>
      </c>
      <c r="J299" s="247">
        <f t="shared" si="54"/>
        <v>0</v>
      </c>
      <c r="K299" s="247">
        <f>SUM(K291:K298)</f>
        <v>45151.432575000006</v>
      </c>
    </row>
    <row r="300" spans="1:11" s="4" customFormat="1" ht="25.5" customHeight="1" thickBot="1">
      <c r="A300" s="65"/>
      <c r="B300" s="23"/>
      <c r="C300" s="40"/>
      <c r="D300" s="158"/>
      <c r="E300" s="174" t="s">
        <v>329</v>
      </c>
      <c r="F300" s="175">
        <f>F299-[1]MADRE!$H$380</f>
        <v>0</v>
      </c>
      <c r="G300" s="175">
        <f>G299-[1]MADRE!$I$380</f>
        <v>0</v>
      </c>
      <c r="H300" s="175">
        <f>H299-[2]MADRE!J$390</f>
        <v>0</v>
      </c>
      <c r="I300" s="175">
        <f>I299-[2]MADRE!K$390</f>
        <v>0</v>
      </c>
      <c r="J300" s="175">
        <f>J299-[3]MADRE!$L$380</f>
        <v>0</v>
      </c>
      <c r="K300" s="175">
        <f>K299-[3]MADRE!$M$380</f>
        <v>0</v>
      </c>
    </row>
    <row r="301" spans="1:11" s="4" customFormat="1" ht="15" customHeight="1">
      <c r="A301" s="60" t="s">
        <v>312</v>
      </c>
      <c r="B301" s="332"/>
      <c r="C301" s="141"/>
      <c r="D301" s="159"/>
      <c r="E301" s="44"/>
      <c r="F301" s="44"/>
      <c r="G301" s="44"/>
      <c r="H301" s="44"/>
      <c r="I301" s="44"/>
      <c r="J301" s="252"/>
      <c r="K301" s="44"/>
    </row>
    <row r="302" spans="1:11" ht="51" customHeight="1" thickBot="1">
      <c r="A302" s="65" t="s">
        <v>209</v>
      </c>
      <c r="B302" s="23" t="s">
        <v>31</v>
      </c>
      <c r="C302" s="409" t="s">
        <v>319</v>
      </c>
      <c r="D302" s="132" t="s">
        <v>323</v>
      </c>
      <c r="E302" s="24" t="s">
        <v>207</v>
      </c>
      <c r="F302" s="171">
        <f>3511*1.05*1.05*1.05</f>
        <v>4064.4213750000008</v>
      </c>
      <c r="G302" s="171"/>
      <c r="H302" s="171">
        <v>130</v>
      </c>
      <c r="I302" s="171"/>
      <c r="J302" s="181"/>
      <c r="K302" s="171">
        <f>F302-G302+H302+J302</f>
        <v>4194.4213750000008</v>
      </c>
    </row>
    <row r="303" spans="1:11" s="4" customFormat="1" ht="25.5" customHeight="1" thickTop="1" thickBot="1">
      <c r="A303" s="65"/>
      <c r="B303" s="23"/>
      <c r="C303" s="40"/>
      <c r="D303" s="40"/>
      <c r="E303" s="244" t="s">
        <v>6</v>
      </c>
      <c r="F303" s="180">
        <f t="shared" ref="F303:J303" si="55">SUM(F302)</f>
        <v>4064.4213750000008</v>
      </c>
      <c r="G303" s="180">
        <f t="shared" si="55"/>
        <v>0</v>
      </c>
      <c r="H303" s="180">
        <f t="shared" si="55"/>
        <v>130</v>
      </c>
      <c r="I303" s="180">
        <f t="shared" si="55"/>
        <v>0</v>
      </c>
      <c r="J303" s="180">
        <f t="shared" si="55"/>
        <v>0</v>
      </c>
      <c r="K303" s="180">
        <f>SUM(K302)</f>
        <v>4194.4213750000008</v>
      </c>
    </row>
    <row r="304" spans="1:11" s="4" customFormat="1" ht="25.5" customHeight="1" thickBot="1">
      <c r="A304" s="65"/>
      <c r="B304" s="23"/>
      <c r="C304" s="40"/>
      <c r="D304" s="110"/>
      <c r="E304" s="174" t="s">
        <v>329</v>
      </c>
      <c r="F304" s="175">
        <f>F303-[1]MADRE!$H$384</f>
        <v>0</v>
      </c>
      <c r="G304" s="175">
        <f>G303-[2]MADRE!I$394</f>
        <v>0</v>
      </c>
      <c r="H304" s="175">
        <f>H303-[2]MADRE!J$394</f>
        <v>0</v>
      </c>
      <c r="I304" s="175">
        <f>I303-[2]MADRE!K$394</f>
        <v>0</v>
      </c>
      <c r="J304" s="175">
        <f>J303-[3]MADRE!$L$384</f>
        <v>0</v>
      </c>
      <c r="K304" s="175">
        <f>K303-[3]MADRE!$M$384</f>
        <v>0</v>
      </c>
    </row>
    <row r="305" spans="1:11" s="4" customFormat="1" ht="15" customHeight="1">
      <c r="A305" s="26" t="s">
        <v>313</v>
      </c>
      <c r="B305" s="324"/>
      <c r="C305" s="109"/>
      <c r="D305" s="109"/>
      <c r="E305" s="29"/>
      <c r="F305" s="29"/>
      <c r="G305" s="29"/>
      <c r="H305" s="29"/>
      <c r="I305" s="29"/>
      <c r="J305" s="397"/>
      <c r="K305" s="29"/>
    </row>
    <row r="306" spans="1:11" s="4" customFormat="1" ht="15.75" customHeight="1">
      <c r="A306" s="104"/>
      <c r="B306" s="339"/>
      <c r="C306" s="40"/>
      <c r="D306" s="40"/>
      <c r="E306" s="39"/>
      <c r="F306" s="171"/>
      <c r="G306" s="171"/>
      <c r="H306" s="171"/>
      <c r="I306" s="171"/>
      <c r="J306" s="181"/>
      <c r="K306" s="171"/>
    </row>
    <row r="307" spans="1:11" ht="51" customHeight="1">
      <c r="A307" s="89" t="s">
        <v>668</v>
      </c>
      <c r="B307" s="24" t="s">
        <v>383</v>
      </c>
      <c r="C307" s="40" t="s">
        <v>319</v>
      </c>
      <c r="D307" s="23" t="s">
        <v>324</v>
      </c>
      <c r="E307" s="23" t="s">
        <v>246</v>
      </c>
      <c r="F307" s="171">
        <f>5087*1.04*1.05*1.05</f>
        <v>5832.7542000000012</v>
      </c>
      <c r="G307" s="171">
        <f>154*1.04*1.05*1.05</f>
        <v>176.57640000000001</v>
      </c>
      <c r="H307" s="171"/>
      <c r="I307" s="171"/>
      <c r="J307" s="181"/>
      <c r="K307" s="171">
        <f>F307-G307+H307+I307+J307</f>
        <v>5656.1778000000013</v>
      </c>
    </row>
    <row r="308" spans="1:11" ht="51" customHeight="1">
      <c r="A308" s="89" t="s">
        <v>371</v>
      </c>
      <c r="B308" s="330" t="s">
        <v>590</v>
      </c>
      <c r="C308" s="40" t="s">
        <v>319</v>
      </c>
      <c r="D308" s="23" t="s">
        <v>324</v>
      </c>
      <c r="E308" s="23" t="s">
        <v>246</v>
      </c>
      <c r="F308" s="171">
        <f>5087*1.04*1.05*1.05</f>
        <v>5832.7542000000012</v>
      </c>
      <c r="G308" s="171">
        <f>154*1.04*1.05*1.05</f>
        <v>176.57640000000001</v>
      </c>
      <c r="H308" s="171"/>
      <c r="I308" s="171"/>
      <c r="J308" s="181"/>
      <c r="K308" s="171">
        <f>F308-G308+H308+I308+J308</f>
        <v>5656.1778000000013</v>
      </c>
    </row>
    <row r="309" spans="1:11" ht="51" customHeight="1">
      <c r="A309" s="63" t="s">
        <v>402</v>
      </c>
      <c r="B309" s="39" t="s">
        <v>591</v>
      </c>
      <c r="C309" s="409" t="s">
        <v>319</v>
      </c>
      <c r="D309" s="40" t="s">
        <v>324</v>
      </c>
      <c r="E309" s="40" t="s">
        <v>401</v>
      </c>
      <c r="F309" s="171">
        <f>4058*1.04*1.05*1.05</f>
        <v>4652.9028000000008</v>
      </c>
      <c r="G309" s="171"/>
      <c r="H309" s="171">
        <v>95</v>
      </c>
      <c r="I309" s="171"/>
      <c r="J309" s="181"/>
      <c r="K309" s="171">
        <f t="shared" ref="K309:K313" si="56">F309-G309+H309+I309+J309</f>
        <v>4747.9028000000008</v>
      </c>
    </row>
    <row r="310" spans="1:11" ht="51" customHeight="1">
      <c r="A310" s="63" t="s">
        <v>423</v>
      </c>
      <c r="B310" s="39" t="s">
        <v>424</v>
      </c>
      <c r="C310" s="40" t="s">
        <v>319</v>
      </c>
      <c r="D310" s="40" t="s">
        <v>324</v>
      </c>
      <c r="E310" s="39" t="s">
        <v>401</v>
      </c>
      <c r="F310" s="171">
        <f>4058*1.04*1.05*1.05</f>
        <v>4652.9028000000008</v>
      </c>
      <c r="G310" s="171"/>
      <c r="H310" s="171">
        <v>95</v>
      </c>
      <c r="I310" s="171"/>
      <c r="J310" s="181"/>
      <c r="K310" s="171">
        <f t="shared" si="56"/>
        <v>4747.9028000000008</v>
      </c>
    </row>
    <row r="311" spans="1:11" ht="51" customHeight="1">
      <c r="A311" s="73" t="s">
        <v>177</v>
      </c>
      <c r="B311" s="36" t="s">
        <v>91</v>
      </c>
      <c r="C311" s="36" t="s">
        <v>319</v>
      </c>
      <c r="D311" s="37" t="s">
        <v>324</v>
      </c>
      <c r="E311" s="39" t="s">
        <v>401</v>
      </c>
      <c r="F311" s="171">
        <f>5545*1.05*1.05*1.05</f>
        <v>6419.0306250000003</v>
      </c>
      <c r="G311" s="171">
        <f>99*1.05*1.05*1.05</f>
        <v>114.60487500000001</v>
      </c>
      <c r="H311" s="185"/>
      <c r="I311" s="186">
        <v>126</v>
      </c>
      <c r="J311" s="181"/>
      <c r="K311" s="171">
        <f t="shared" si="56"/>
        <v>6430.4257500000003</v>
      </c>
    </row>
    <row r="312" spans="1:11" s="302" customFormat="1" ht="51" customHeight="1">
      <c r="A312" s="83" t="s">
        <v>649</v>
      </c>
      <c r="B312" s="41" t="s">
        <v>650</v>
      </c>
      <c r="C312" s="41" t="s">
        <v>319</v>
      </c>
      <c r="D312" s="45" t="s">
        <v>324</v>
      </c>
      <c r="E312" s="39" t="s">
        <v>401</v>
      </c>
      <c r="F312" s="316">
        <f>6498*1.05*1.05*1.05</f>
        <v>7522.2472500000013</v>
      </c>
      <c r="G312" s="316">
        <f>220*1.05*1.05*1.05</f>
        <v>254.67750000000001</v>
      </c>
      <c r="H312" s="316"/>
      <c r="I312" s="300">
        <v>175</v>
      </c>
      <c r="J312" s="181"/>
      <c r="K312" s="171">
        <f t="shared" si="56"/>
        <v>7442.5697500000015</v>
      </c>
    </row>
    <row r="313" spans="1:11" ht="51" customHeight="1" thickBot="1">
      <c r="A313" s="63" t="s">
        <v>508</v>
      </c>
      <c r="B313" s="39" t="s">
        <v>593</v>
      </c>
      <c r="C313" s="409" t="s">
        <v>319</v>
      </c>
      <c r="D313" s="40" t="s">
        <v>324</v>
      </c>
      <c r="E313" s="39" t="s">
        <v>509</v>
      </c>
      <c r="F313" s="275">
        <f>4058*1.04*1.05*1.05</f>
        <v>4652.9028000000008</v>
      </c>
      <c r="G313" s="275"/>
      <c r="H313" s="275">
        <v>95</v>
      </c>
      <c r="I313" s="272"/>
      <c r="J313" s="402"/>
      <c r="K313" s="272">
        <f t="shared" si="56"/>
        <v>4747.9028000000008</v>
      </c>
    </row>
    <row r="314" spans="1:11" s="4" customFormat="1" ht="25.5" customHeight="1" thickTop="1" thickBot="1">
      <c r="A314" s="61"/>
      <c r="B314" s="340"/>
      <c r="C314" s="40"/>
      <c r="D314" s="160"/>
      <c r="E314" s="56" t="s">
        <v>6</v>
      </c>
      <c r="F314" s="181">
        <f t="shared" ref="F314:K314" si="57">SUM(F307:F313)</f>
        <v>39565.494675000009</v>
      </c>
      <c r="G314" s="181">
        <f t="shared" si="57"/>
        <v>722.43517500000007</v>
      </c>
      <c r="H314" s="181">
        <f t="shared" si="57"/>
        <v>285</v>
      </c>
      <c r="I314" s="181">
        <f t="shared" si="57"/>
        <v>301</v>
      </c>
      <c r="J314" s="181">
        <f t="shared" si="57"/>
        <v>0</v>
      </c>
      <c r="K314" s="181">
        <f t="shared" si="57"/>
        <v>39429.05950000001</v>
      </c>
    </row>
    <row r="315" spans="1:11" s="4" customFormat="1" ht="25.5" customHeight="1" thickBot="1">
      <c r="A315" s="61"/>
      <c r="B315" s="340"/>
      <c r="C315" s="40"/>
      <c r="D315" s="110"/>
      <c r="E315" s="174" t="s">
        <v>329</v>
      </c>
      <c r="F315" s="190">
        <f>F314-[1]MADRE!$H$399</f>
        <v>-4189.5</v>
      </c>
      <c r="G315" s="190">
        <f>G314-[1]MADRE!$I$399</f>
        <v>0</v>
      </c>
      <c r="H315" s="190">
        <f>H314-[24]MADRE!$J$409</f>
        <v>-90</v>
      </c>
      <c r="I315" s="190">
        <f>I314-[27]MADRE!$K$406</f>
        <v>0</v>
      </c>
      <c r="J315" s="190">
        <f>J314-[3]MADRE!$L$398</f>
        <v>0</v>
      </c>
      <c r="K315" s="190">
        <f>K314-[3]MADRE!$M$398</f>
        <v>0</v>
      </c>
    </row>
    <row r="316" spans="1:11" ht="15" customHeight="1">
      <c r="A316" s="26" t="s">
        <v>314</v>
      </c>
      <c r="B316" s="324"/>
      <c r="C316" s="109"/>
      <c r="D316" s="109"/>
      <c r="E316" s="29"/>
      <c r="F316" s="29"/>
      <c r="G316" s="29"/>
      <c r="H316" s="29"/>
      <c r="I316" s="29"/>
      <c r="J316" s="397"/>
      <c r="K316" s="29"/>
    </row>
    <row r="317" spans="1:11" ht="51" customHeight="1">
      <c r="A317" s="105" t="s">
        <v>712</v>
      </c>
      <c r="B317" s="35" t="s">
        <v>713</v>
      </c>
      <c r="C317" s="409" t="s">
        <v>321</v>
      </c>
      <c r="D317" s="115" t="s">
        <v>323</v>
      </c>
      <c r="E317" s="35" t="s">
        <v>714</v>
      </c>
      <c r="F317" s="179">
        <f>6691*1.04*1.05*1.05</f>
        <v>7671.9006000000018</v>
      </c>
      <c r="G317" s="176">
        <f>240.24*1.05</f>
        <v>252.25200000000001</v>
      </c>
      <c r="H317" s="193"/>
      <c r="I317" s="193"/>
      <c r="J317" s="401"/>
      <c r="K317" s="193">
        <f>F317-G317+H317+I317+J317</f>
        <v>7419.6486000000014</v>
      </c>
    </row>
    <row r="318" spans="1:11" ht="40.5" customHeight="1">
      <c r="A318" s="91" t="s">
        <v>222</v>
      </c>
      <c r="B318" s="341" t="s">
        <v>117</v>
      </c>
      <c r="C318" s="294" t="s">
        <v>319</v>
      </c>
      <c r="D318" s="54" t="s">
        <v>323</v>
      </c>
      <c r="E318" s="130" t="s">
        <v>391</v>
      </c>
      <c r="F318" s="171">
        <f>3913*1.05*1.05*1.05</f>
        <v>4529.7866250000006</v>
      </c>
      <c r="G318" s="171"/>
      <c r="H318" s="171">
        <v>120</v>
      </c>
      <c r="I318" s="171"/>
      <c r="J318" s="401"/>
      <c r="K318" s="171">
        <f>F318-G318+H318+J318</f>
        <v>4649.7866250000006</v>
      </c>
    </row>
    <row r="319" spans="1:11" ht="40.5" customHeight="1" thickBot="1">
      <c r="A319" s="63" t="s">
        <v>386</v>
      </c>
      <c r="B319" s="23" t="s">
        <v>353</v>
      </c>
      <c r="C319" s="40" t="s">
        <v>319</v>
      </c>
      <c r="D319" s="23" t="s">
        <v>323</v>
      </c>
      <c r="E319" s="24" t="s">
        <v>387</v>
      </c>
      <c r="F319" s="272">
        <f>3241*1.05*1.05*1.05</f>
        <v>3751.8626250000007</v>
      </c>
      <c r="G319" s="272"/>
      <c r="H319" s="272">
        <v>95</v>
      </c>
      <c r="I319" s="275"/>
      <c r="J319" s="275"/>
      <c r="K319" s="275">
        <f>F319-G319+H319+J319</f>
        <v>3846.8626250000007</v>
      </c>
    </row>
    <row r="320" spans="1:11" ht="25.5" customHeight="1" thickTop="1" thickBot="1">
      <c r="A320" s="59"/>
      <c r="B320" s="42"/>
      <c r="D320" s="40"/>
      <c r="E320" s="56" t="s">
        <v>6</v>
      </c>
      <c r="F320" s="173">
        <f>SUM(F317:F319)</f>
        <v>15953.549850000003</v>
      </c>
      <c r="G320" s="173">
        <f>SUM(G317:G319)</f>
        <v>252.25200000000001</v>
      </c>
      <c r="H320" s="173">
        <f>SUM(H317:H319)</f>
        <v>215</v>
      </c>
      <c r="I320" s="173">
        <f t="shared" ref="I320:J320" si="58">SUM(I317:I319)</f>
        <v>0</v>
      </c>
      <c r="J320" s="173">
        <f t="shared" si="58"/>
        <v>0</v>
      </c>
      <c r="K320" s="173">
        <f>SUM(K317:K319)</f>
        <v>15916.297850000003</v>
      </c>
    </row>
    <row r="321" spans="1:11" ht="25.5" customHeight="1" thickBot="1">
      <c r="A321" s="59"/>
      <c r="B321" s="42"/>
      <c r="D321" s="110"/>
      <c r="E321" s="174" t="s">
        <v>329</v>
      </c>
      <c r="F321" s="175">
        <f>F320-[1]MADRE!$H$408</f>
        <v>0</v>
      </c>
      <c r="G321" s="175">
        <f>G320-[1]MADRE!$I$408</f>
        <v>0</v>
      </c>
      <c r="H321" s="175">
        <f>H320-[28]MADRE!$J$417</f>
        <v>0</v>
      </c>
      <c r="I321" s="175">
        <f>I320-[28]MADRE!$K$417</f>
        <v>0</v>
      </c>
      <c r="J321" s="175">
        <f>J320-[3]MADRE!$L$407</f>
        <v>0</v>
      </c>
      <c r="K321" s="175">
        <f>K320-[3]MADRE!$M$407</f>
        <v>0</v>
      </c>
    </row>
    <row r="322" spans="1:11" ht="15" customHeight="1">
      <c r="A322" s="26" t="s">
        <v>315</v>
      </c>
      <c r="B322" s="324"/>
      <c r="C322" s="109"/>
      <c r="D322" s="109"/>
      <c r="E322" s="29"/>
      <c r="F322" s="29"/>
      <c r="G322" s="29"/>
      <c r="H322" s="29"/>
      <c r="I322" s="29"/>
      <c r="J322" s="397"/>
      <c r="K322" s="29"/>
    </row>
    <row r="323" spans="1:11" ht="51" customHeight="1">
      <c r="A323" s="105" t="s">
        <v>643</v>
      </c>
      <c r="B323" s="32" t="s">
        <v>644</v>
      </c>
      <c r="C323" s="409" t="s">
        <v>319</v>
      </c>
      <c r="D323" s="115" t="s">
        <v>323</v>
      </c>
      <c r="E323" s="35" t="s">
        <v>645</v>
      </c>
      <c r="F323" s="179">
        <f>6691*1.04*1.05*1.05</f>
        <v>7671.9006000000018</v>
      </c>
      <c r="G323" s="176">
        <f>240.24*1.05</f>
        <v>252.25200000000001</v>
      </c>
      <c r="H323" s="193"/>
      <c r="I323" s="193"/>
      <c r="J323" s="401"/>
      <c r="K323" s="193">
        <f>F323-G323+H323+I323+J323</f>
        <v>7419.6486000000014</v>
      </c>
    </row>
    <row r="324" spans="1:11" ht="51" customHeight="1">
      <c r="A324" s="81" t="s">
        <v>251</v>
      </c>
      <c r="B324" s="53" t="s">
        <v>54</v>
      </c>
      <c r="C324" s="407" t="s">
        <v>319</v>
      </c>
      <c r="D324" s="37" t="s">
        <v>323</v>
      </c>
      <c r="E324" s="119" t="s">
        <v>247</v>
      </c>
      <c r="F324" s="171">
        <f>4349*1.04*1.05*1.05</f>
        <v>4986.5634</v>
      </c>
      <c r="G324" s="172"/>
      <c r="H324" s="185">
        <v>90</v>
      </c>
      <c r="I324" s="185"/>
      <c r="J324" s="401"/>
      <c r="K324" s="185">
        <f>F324-G324+H324+J324</f>
        <v>5076.5634</v>
      </c>
    </row>
    <row r="325" spans="1:11" ht="51" customHeight="1">
      <c r="A325" s="88" t="s">
        <v>252</v>
      </c>
      <c r="B325" s="54" t="s">
        <v>55</v>
      </c>
      <c r="C325" s="419" t="s">
        <v>319</v>
      </c>
      <c r="D325" s="317" t="s">
        <v>323</v>
      </c>
      <c r="E325" s="24" t="s">
        <v>248</v>
      </c>
      <c r="F325" s="171">
        <f>5446*1.04*1.05*1.05</f>
        <v>6244.3836000000001</v>
      </c>
      <c r="G325" s="172">
        <f>270*1.04*1.05*1.05</f>
        <v>309.58200000000005</v>
      </c>
      <c r="H325" s="188"/>
      <c r="I325" s="187"/>
      <c r="J325" s="401"/>
      <c r="K325" s="185">
        <f>F325-G325+H325+J325</f>
        <v>5934.8015999999998</v>
      </c>
    </row>
    <row r="326" spans="1:11" ht="51" customHeight="1">
      <c r="A326" s="92" t="s">
        <v>253</v>
      </c>
      <c r="B326" s="55" t="s">
        <v>59</v>
      </c>
      <c r="C326" s="409" t="s">
        <v>319</v>
      </c>
      <c r="D326" s="37" t="s">
        <v>323</v>
      </c>
      <c r="E326" s="128" t="s">
        <v>210</v>
      </c>
      <c r="F326" s="171">
        <f>4614*1.05</f>
        <v>4844.7</v>
      </c>
      <c r="G326" s="171"/>
      <c r="H326" s="171">
        <v>120</v>
      </c>
      <c r="I326" s="171"/>
      <c r="J326" s="401"/>
      <c r="K326" s="185">
        <f>F326-G326+H326+J326</f>
        <v>4964.7</v>
      </c>
    </row>
    <row r="327" spans="1:11" ht="51" customHeight="1">
      <c r="A327" s="92" t="s">
        <v>255</v>
      </c>
      <c r="B327" s="41" t="s">
        <v>70</v>
      </c>
      <c r="C327" s="420" t="s">
        <v>319</v>
      </c>
      <c r="D327" s="45" t="s">
        <v>323</v>
      </c>
      <c r="E327" s="163" t="s">
        <v>225</v>
      </c>
      <c r="F327" s="171">
        <f>4432*1.05*1.05*1.05</f>
        <v>5130.594000000001</v>
      </c>
      <c r="G327" s="172"/>
      <c r="H327" s="172">
        <v>90</v>
      </c>
      <c r="I327" s="172"/>
      <c r="J327" s="401"/>
      <c r="K327" s="185">
        <f>F327-G327+H327+J327</f>
        <v>5220.594000000001</v>
      </c>
    </row>
    <row r="328" spans="1:11" ht="51" customHeight="1">
      <c r="A328" s="92" t="s">
        <v>256</v>
      </c>
      <c r="B328" s="23" t="s">
        <v>56</v>
      </c>
      <c r="C328" s="408" t="s">
        <v>319</v>
      </c>
      <c r="D328" s="45" t="s">
        <v>323</v>
      </c>
      <c r="E328" s="24" t="s">
        <v>235</v>
      </c>
      <c r="F328" s="171">
        <f>3819*1.05*1.05*1.05</f>
        <v>4420.9698750000007</v>
      </c>
      <c r="G328" s="171"/>
      <c r="H328" s="171">
        <v>129</v>
      </c>
      <c r="I328" s="171"/>
      <c r="J328" s="401"/>
      <c r="K328" s="185">
        <f t="shared" ref="K328:K330" si="59">F328-G328+H328+J328</f>
        <v>4549.9698750000007</v>
      </c>
    </row>
    <row r="329" spans="1:11" ht="51" customHeight="1">
      <c r="A329" s="65" t="s">
        <v>330</v>
      </c>
      <c r="B329" s="24" t="s">
        <v>372</v>
      </c>
      <c r="C329" s="52" t="s">
        <v>319</v>
      </c>
      <c r="D329" s="40" t="s">
        <v>323</v>
      </c>
      <c r="E329" s="24" t="s">
        <v>210</v>
      </c>
      <c r="F329" s="172">
        <f>4614*1.05</f>
        <v>4844.7</v>
      </c>
      <c r="G329" s="172"/>
      <c r="H329" s="172">
        <v>120</v>
      </c>
      <c r="I329" s="172"/>
      <c r="J329" s="401"/>
      <c r="K329" s="185">
        <f t="shared" si="59"/>
        <v>4964.7</v>
      </c>
    </row>
    <row r="330" spans="1:11" ht="51" customHeight="1" thickBot="1">
      <c r="A330" s="96" t="s">
        <v>365</v>
      </c>
      <c r="B330" s="23" t="s">
        <v>356</v>
      </c>
      <c r="C330" s="40" t="s">
        <v>319</v>
      </c>
      <c r="D330" s="40" t="s">
        <v>323</v>
      </c>
      <c r="E330" s="24" t="s">
        <v>366</v>
      </c>
      <c r="F330" s="171">
        <f>4614*1.05</f>
        <v>4844.7</v>
      </c>
      <c r="G330" s="171"/>
      <c r="H330" s="171">
        <v>120</v>
      </c>
      <c r="I330" s="171"/>
      <c r="J330" s="401"/>
      <c r="K330" s="185">
        <f t="shared" si="59"/>
        <v>4964.7</v>
      </c>
    </row>
    <row r="331" spans="1:11" ht="25.5" customHeight="1" thickTop="1" thickBot="1">
      <c r="B331" s="23"/>
      <c r="D331" s="161"/>
      <c r="E331" s="250" t="s">
        <v>6</v>
      </c>
      <c r="F331" s="180">
        <f t="shared" ref="F331:J331" si="60">SUM(F323:F330)</f>
        <v>42988.511474999999</v>
      </c>
      <c r="G331" s="180">
        <f t="shared" si="60"/>
        <v>561.83400000000006</v>
      </c>
      <c r="H331" s="180">
        <f t="shared" si="60"/>
        <v>669</v>
      </c>
      <c r="I331" s="180">
        <f t="shared" si="60"/>
        <v>0</v>
      </c>
      <c r="J331" s="180">
        <f t="shared" si="60"/>
        <v>0</v>
      </c>
      <c r="K331" s="180">
        <f>SUM(K323:K330)</f>
        <v>43095.677474999997</v>
      </c>
    </row>
    <row r="332" spans="1:11" ht="25.5" customHeight="1" thickBot="1">
      <c r="B332" s="23"/>
      <c r="D332" s="110"/>
      <c r="E332" s="174" t="s">
        <v>329</v>
      </c>
      <c r="F332" s="175">
        <f>F331-[15]MADRE!$H$421</f>
        <v>0</v>
      </c>
      <c r="G332" s="175">
        <f>G331-[1]MADRE!$I$423</f>
        <v>0</v>
      </c>
      <c r="H332" s="175">
        <f>H331-[15]MADRE!$J$421</f>
        <v>0</v>
      </c>
      <c r="I332" s="175">
        <f>I331-[2]MADRE!K$436</f>
        <v>0</v>
      </c>
      <c r="J332" s="175">
        <f>J331-[3]MADRE!$L$421</f>
        <v>0</v>
      </c>
      <c r="K332" s="175">
        <f>K331-[3]MADRE!$M$421</f>
        <v>0</v>
      </c>
    </row>
    <row r="333" spans="1:11" ht="15" customHeight="1">
      <c r="A333" s="26" t="s">
        <v>316</v>
      </c>
      <c r="B333" s="324"/>
      <c r="C333" s="109"/>
      <c r="D333" s="109"/>
      <c r="E333" s="29"/>
      <c r="F333" s="29"/>
      <c r="G333" s="29"/>
      <c r="H333" s="29"/>
      <c r="I333" s="29"/>
      <c r="J333" s="397"/>
      <c r="K333" s="29"/>
    </row>
    <row r="334" spans="1:11" ht="40.5" customHeight="1">
      <c r="A334" s="64" t="s">
        <v>511</v>
      </c>
      <c r="B334" s="35"/>
      <c r="C334" s="40" t="s">
        <v>321</v>
      </c>
      <c r="D334" s="46" t="s">
        <v>323</v>
      </c>
      <c r="E334" s="35" t="s">
        <v>538</v>
      </c>
      <c r="F334" s="179">
        <f>6691*1.04*1.05*1.05</f>
        <v>7671.9006000000018</v>
      </c>
      <c r="G334" s="176">
        <f>220*1.04*1.05*1.05</f>
        <v>252.25200000000001</v>
      </c>
      <c r="H334" s="176"/>
      <c r="I334" s="176"/>
      <c r="J334" s="173"/>
      <c r="K334" s="176">
        <f>F334-G334+H334+I334+J334</f>
        <v>7419.6486000000014</v>
      </c>
    </row>
    <row r="335" spans="1:11" ht="40.5" customHeight="1">
      <c r="A335" s="65" t="s">
        <v>267</v>
      </c>
      <c r="B335" s="23" t="s">
        <v>96</v>
      </c>
      <c r="C335" s="407" t="s">
        <v>319</v>
      </c>
      <c r="D335" s="144" t="s">
        <v>323</v>
      </c>
      <c r="E335" s="24" t="s">
        <v>544</v>
      </c>
      <c r="F335" s="171">
        <f>6140*1.04*1.05*1.05</f>
        <v>7040.1240000000016</v>
      </c>
      <c r="G335" s="172">
        <f>183*1.04*1.05*1.05</f>
        <v>209.82780000000002</v>
      </c>
      <c r="H335" s="172"/>
      <c r="I335" s="172"/>
      <c r="J335" s="173"/>
      <c r="K335" s="172">
        <f>F335-G335+H335+I335+J335</f>
        <v>6830.2962000000016</v>
      </c>
    </row>
    <row r="336" spans="1:11" ht="40.5" customHeight="1">
      <c r="A336" s="65" t="s">
        <v>336</v>
      </c>
      <c r="B336" s="23" t="s">
        <v>97</v>
      </c>
      <c r="C336" s="52" t="s">
        <v>319</v>
      </c>
      <c r="D336" s="146" t="s">
        <v>323</v>
      </c>
      <c r="E336" s="24" t="s">
        <v>210</v>
      </c>
      <c r="F336" s="171">
        <f>3931.2*1.05</f>
        <v>4127.76</v>
      </c>
      <c r="G336" s="172"/>
      <c r="H336" s="172">
        <v>130</v>
      </c>
      <c r="I336" s="172"/>
      <c r="J336" s="173"/>
      <c r="K336" s="172">
        <f>F336-G336+H336+I336+J336</f>
        <v>4257.76</v>
      </c>
    </row>
    <row r="337" spans="1:11" ht="40.5" customHeight="1">
      <c r="A337" s="65" t="s">
        <v>258</v>
      </c>
      <c r="B337" s="23" t="s">
        <v>98</v>
      </c>
      <c r="C337" s="409" t="s">
        <v>319</v>
      </c>
      <c r="D337" s="146" t="s">
        <v>323</v>
      </c>
      <c r="E337" s="251" t="s">
        <v>210</v>
      </c>
      <c r="F337" s="171">
        <f>3543*1.05*1.05*1.05</f>
        <v>4101.4653750000007</v>
      </c>
      <c r="G337" s="172"/>
      <c r="H337" s="208">
        <v>130</v>
      </c>
      <c r="I337" s="208"/>
      <c r="J337" s="173"/>
      <c r="K337" s="172">
        <f t="shared" ref="K337:K342" si="61">F337-G337+H337+I337+J337</f>
        <v>4231.4653750000007</v>
      </c>
    </row>
    <row r="338" spans="1:11" ht="40.5" customHeight="1">
      <c r="A338" s="65" t="s">
        <v>260</v>
      </c>
      <c r="B338" s="23" t="s">
        <v>100</v>
      </c>
      <c r="C338" s="40" t="s">
        <v>319</v>
      </c>
      <c r="D338" s="163" t="s">
        <v>323</v>
      </c>
      <c r="E338" s="24" t="s">
        <v>249</v>
      </c>
      <c r="F338" s="171">
        <f>4067*1.05*1.05*1.05</f>
        <v>4708.0608750000001</v>
      </c>
      <c r="G338" s="172"/>
      <c r="H338" s="172">
        <v>110</v>
      </c>
      <c r="I338" s="172"/>
      <c r="J338" s="173"/>
      <c r="K338" s="172">
        <f t="shared" si="61"/>
        <v>4818.0608750000001</v>
      </c>
    </row>
    <row r="339" spans="1:11" ht="40.5" customHeight="1">
      <c r="A339" s="63" t="s">
        <v>268</v>
      </c>
      <c r="B339" s="23" t="s">
        <v>127</v>
      </c>
      <c r="C339" s="40" t="s">
        <v>319</v>
      </c>
      <c r="D339" s="162" t="s">
        <v>323</v>
      </c>
      <c r="E339" s="39" t="s">
        <v>250</v>
      </c>
      <c r="F339" s="171">
        <f>4013*1.05*1.05*1.05</f>
        <v>4645.5491250000005</v>
      </c>
      <c r="G339" s="171"/>
      <c r="H339" s="171">
        <v>110</v>
      </c>
      <c r="I339" s="171"/>
      <c r="J339" s="173"/>
      <c r="K339" s="172">
        <f t="shared" si="61"/>
        <v>4755.5491250000005</v>
      </c>
    </row>
    <row r="340" spans="1:11" ht="50.25" customHeight="1">
      <c r="A340" s="63" t="s">
        <v>338</v>
      </c>
      <c r="B340" s="24" t="s">
        <v>369</v>
      </c>
      <c r="C340" s="40" t="s">
        <v>319</v>
      </c>
      <c r="D340" s="39" t="s">
        <v>323</v>
      </c>
      <c r="E340" s="162" t="s">
        <v>339</v>
      </c>
      <c r="F340" s="171">
        <f>2347*1.05*1.05*1.05</f>
        <v>2716.9458750000003</v>
      </c>
      <c r="G340" s="171"/>
      <c r="H340" s="171">
        <v>150</v>
      </c>
      <c r="I340" s="171"/>
      <c r="J340" s="173"/>
      <c r="K340" s="172">
        <f t="shared" si="61"/>
        <v>2866.9458750000003</v>
      </c>
    </row>
    <row r="341" spans="1:11" ht="50.25" customHeight="1">
      <c r="A341" s="63" t="s">
        <v>636</v>
      </c>
      <c r="B341" s="24" t="s">
        <v>637</v>
      </c>
      <c r="C341" s="40" t="s">
        <v>321</v>
      </c>
      <c r="D341" s="39" t="s">
        <v>323</v>
      </c>
      <c r="E341" s="39" t="s">
        <v>225</v>
      </c>
      <c r="F341" s="171">
        <f>3587.85*1.05*1.05</f>
        <v>3955.6046250000004</v>
      </c>
      <c r="G341" s="171"/>
      <c r="H341" s="171"/>
      <c r="I341" s="171"/>
      <c r="J341" s="173"/>
      <c r="K341" s="172">
        <f t="shared" si="61"/>
        <v>3955.6046250000004</v>
      </c>
    </row>
    <row r="342" spans="1:11" ht="40.5" customHeight="1" thickBot="1">
      <c r="A342" s="65" t="s">
        <v>337</v>
      </c>
      <c r="B342" s="23" t="s">
        <v>102</v>
      </c>
      <c r="C342" s="40" t="s">
        <v>319</v>
      </c>
      <c r="D342" s="39" t="s">
        <v>323</v>
      </c>
      <c r="E342" s="24" t="s">
        <v>203</v>
      </c>
      <c r="F342" s="171">
        <f>3670.22*1.05</f>
        <v>3853.7309999999998</v>
      </c>
      <c r="G342" s="171"/>
      <c r="H342" s="171">
        <v>140</v>
      </c>
      <c r="I342" s="171"/>
      <c r="J342" s="173"/>
      <c r="K342" s="172">
        <f t="shared" si="61"/>
        <v>3993.7309999999998</v>
      </c>
    </row>
    <row r="343" spans="1:11" ht="25.5" customHeight="1" thickTop="1" thickBot="1">
      <c r="A343" s="65"/>
      <c r="B343" s="23"/>
      <c r="D343" s="40"/>
      <c r="E343" s="250" t="s">
        <v>6</v>
      </c>
      <c r="F343" s="180">
        <f t="shared" ref="F343:J343" si="62">SUM(F334:F342)</f>
        <v>42821.141475000004</v>
      </c>
      <c r="G343" s="180">
        <f t="shared" si="62"/>
        <v>462.07980000000003</v>
      </c>
      <c r="H343" s="180">
        <f t="shared" si="62"/>
        <v>770</v>
      </c>
      <c r="I343" s="180">
        <f t="shared" si="62"/>
        <v>0</v>
      </c>
      <c r="J343" s="180">
        <f t="shared" si="62"/>
        <v>0</v>
      </c>
      <c r="K343" s="180">
        <f>SUM(K334:K342)</f>
        <v>43129.061675000004</v>
      </c>
    </row>
    <row r="344" spans="1:11" ht="25.5" customHeight="1" thickBot="1">
      <c r="A344" s="65"/>
      <c r="B344" s="23"/>
      <c r="D344" s="110"/>
      <c r="E344" s="174" t="s">
        <v>329</v>
      </c>
      <c r="F344" s="175">
        <f>F343-[1]MADRE!$H$438</f>
        <v>0</v>
      </c>
      <c r="G344" s="175">
        <f>G343-[1]MADRE!$I$438</f>
        <v>0</v>
      </c>
      <c r="H344" s="175">
        <f>H343-[29]MADRE!$J$447</f>
        <v>0</v>
      </c>
      <c r="I344" s="175">
        <f>I343-[2]MADRE!K$452</f>
        <v>0</v>
      </c>
      <c r="J344" s="175">
        <f>J343-[3]MADRE!$L$436</f>
        <v>0</v>
      </c>
      <c r="K344" s="175">
        <f>K343-[3]MADRE!$M$436</f>
        <v>0</v>
      </c>
    </row>
    <row r="345" spans="1:11" ht="15" customHeight="1">
      <c r="A345" s="60" t="s">
        <v>317</v>
      </c>
      <c r="B345" s="332"/>
      <c r="C345" s="141"/>
      <c r="D345" s="141"/>
      <c r="E345" s="44"/>
      <c r="F345" s="44"/>
      <c r="G345" s="44"/>
      <c r="H345" s="44"/>
      <c r="I345" s="44"/>
      <c r="J345" s="252"/>
      <c r="K345" s="44"/>
    </row>
    <row r="346" spans="1:11" ht="44.25" customHeight="1">
      <c r="A346" s="106" t="s">
        <v>551</v>
      </c>
      <c r="B346" s="342" t="s">
        <v>552</v>
      </c>
      <c r="C346" s="40" t="s">
        <v>319</v>
      </c>
      <c r="D346" s="163" t="s">
        <v>323</v>
      </c>
      <c r="E346" s="39" t="s">
        <v>553</v>
      </c>
      <c r="F346" s="171">
        <f>3500*1.04*1.05*1.05</f>
        <v>4013.1000000000004</v>
      </c>
      <c r="G346" s="252"/>
      <c r="H346" s="252"/>
      <c r="I346" s="252"/>
      <c r="J346" s="392"/>
      <c r="K346" s="172">
        <f>F346+J346</f>
        <v>4013.1000000000004</v>
      </c>
    </row>
    <row r="347" spans="1:11" ht="48" customHeight="1" thickBot="1">
      <c r="A347" s="63" t="s">
        <v>346</v>
      </c>
      <c r="B347" s="23" t="s">
        <v>347</v>
      </c>
      <c r="C347" s="40" t="s">
        <v>319</v>
      </c>
      <c r="D347" s="163" t="s">
        <v>323</v>
      </c>
      <c r="E347" s="39" t="s">
        <v>394</v>
      </c>
      <c r="F347" s="171">
        <f>2915*1.05*1.05*1.05</f>
        <v>3374.4768749999998</v>
      </c>
      <c r="G347" s="171"/>
      <c r="H347" s="171">
        <v>155</v>
      </c>
      <c r="I347" s="171"/>
      <c r="J347" s="392"/>
      <c r="K347" s="172">
        <f>F347-G347+H347+J347</f>
        <v>3529.4768749999998</v>
      </c>
    </row>
    <row r="348" spans="1:11" ht="25.5" customHeight="1" thickTop="1" thickBot="1">
      <c r="B348" s="33"/>
      <c r="D348" s="40"/>
      <c r="E348" s="56" t="s">
        <v>6</v>
      </c>
      <c r="F348" s="180">
        <f t="shared" ref="F348:J348" si="63">SUM(F346:F347)</f>
        <v>7387.5768750000007</v>
      </c>
      <c r="G348" s="180">
        <f t="shared" si="63"/>
        <v>0</v>
      </c>
      <c r="H348" s="180">
        <f t="shared" si="63"/>
        <v>155</v>
      </c>
      <c r="I348" s="180">
        <f t="shared" si="63"/>
        <v>0</v>
      </c>
      <c r="J348" s="180">
        <f t="shared" si="63"/>
        <v>0</v>
      </c>
      <c r="K348" s="180">
        <f>SUM(K346:K347)</f>
        <v>7542.5768750000007</v>
      </c>
    </row>
    <row r="349" spans="1:11" ht="25.5" customHeight="1" thickBot="1">
      <c r="B349" s="33"/>
      <c r="D349" s="110"/>
      <c r="E349" s="174" t="s">
        <v>329</v>
      </c>
      <c r="F349" s="175">
        <f>F348-[1]MADRE!$H$443</f>
        <v>0</v>
      </c>
      <c r="G349" s="175">
        <f>G348-[2]MADRE!I$456</f>
        <v>0</v>
      </c>
      <c r="H349" s="175">
        <f>H348-[2]MADRE!J$456</f>
        <v>0</v>
      </c>
      <c r="I349" s="175">
        <f>I348-[2]MADRE!K$456</f>
        <v>0</v>
      </c>
      <c r="J349" s="175">
        <f>J348-[3]MADRE!$L$442</f>
        <v>0</v>
      </c>
      <c r="K349" s="175">
        <f>K348-[3]MADRE!$M$441</f>
        <v>0</v>
      </c>
    </row>
    <row r="350" spans="1:11" ht="15" customHeight="1">
      <c r="A350" s="26" t="s">
        <v>265</v>
      </c>
      <c r="B350" s="324"/>
      <c r="C350" s="109"/>
      <c r="D350" s="109"/>
      <c r="E350" s="29"/>
      <c r="F350" s="29"/>
      <c r="G350" s="29"/>
      <c r="H350" s="29"/>
      <c r="I350" s="29"/>
      <c r="J350" s="397"/>
      <c r="K350" s="29"/>
    </row>
    <row r="351" spans="1:11" ht="51" customHeight="1">
      <c r="A351" s="65" t="s">
        <v>270</v>
      </c>
      <c r="B351" s="23" t="s">
        <v>104</v>
      </c>
      <c r="C351" s="409" t="s">
        <v>319</v>
      </c>
      <c r="D351" s="40" t="s">
        <v>323</v>
      </c>
      <c r="E351" s="23" t="s">
        <v>269</v>
      </c>
      <c r="F351" s="172">
        <f>1548*1.04*1.05*1.05</f>
        <v>1774.9368000000002</v>
      </c>
      <c r="G351" s="172"/>
      <c r="H351" s="172">
        <v>175</v>
      </c>
      <c r="I351" s="173"/>
      <c r="J351" s="173"/>
      <c r="K351" s="171">
        <f>F351+H351+J351</f>
        <v>1949.9368000000002</v>
      </c>
    </row>
    <row r="352" spans="1:11" ht="51" customHeight="1">
      <c r="A352" s="65" t="s">
        <v>271</v>
      </c>
      <c r="B352" s="23" t="s">
        <v>105</v>
      </c>
      <c r="C352" s="409" t="s">
        <v>319</v>
      </c>
      <c r="D352" s="40" t="s">
        <v>323</v>
      </c>
      <c r="E352" s="23" t="s">
        <v>269</v>
      </c>
      <c r="F352" s="172">
        <f>1548*1.04*1.05*1.05</f>
        <v>1774.9368000000002</v>
      </c>
      <c r="G352" s="172"/>
      <c r="H352" s="172">
        <v>175</v>
      </c>
      <c r="I352" s="173"/>
      <c r="J352" s="173"/>
      <c r="K352" s="171">
        <f>F352+H352+J352</f>
        <v>1949.9368000000002</v>
      </c>
    </row>
    <row r="353" spans="1:11" ht="51" customHeight="1">
      <c r="A353" s="65" t="s">
        <v>272</v>
      </c>
      <c r="B353" s="23" t="s">
        <v>111</v>
      </c>
      <c r="C353" s="409" t="s">
        <v>319</v>
      </c>
      <c r="D353" s="40" t="s">
        <v>323</v>
      </c>
      <c r="E353" s="23" t="s">
        <v>269</v>
      </c>
      <c r="F353" s="172">
        <f>2055*1.04*1.05*1.05</f>
        <v>2356.2630000000004</v>
      </c>
      <c r="G353" s="172"/>
      <c r="H353" s="172">
        <v>167</v>
      </c>
      <c r="I353" s="173"/>
      <c r="J353" s="173"/>
      <c r="K353" s="171">
        <f t="shared" ref="K353:K391" si="64">F353+H353+J353</f>
        <v>2523.2630000000004</v>
      </c>
    </row>
    <row r="354" spans="1:11" ht="51" customHeight="1">
      <c r="A354" s="65" t="s">
        <v>273</v>
      </c>
      <c r="B354" s="23" t="s">
        <v>106</v>
      </c>
      <c r="C354" s="409" t="s">
        <v>319</v>
      </c>
      <c r="D354" s="40" t="s">
        <v>323</v>
      </c>
      <c r="E354" s="23" t="s">
        <v>269</v>
      </c>
      <c r="F354" s="172">
        <f>3114*1.04*1.05*1.05</f>
        <v>3570.5124000000005</v>
      </c>
      <c r="G354" s="172"/>
      <c r="H354" s="172">
        <v>142</v>
      </c>
      <c r="I354" s="173"/>
      <c r="J354" s="173"/>
      <c r="K354" s="171">
        <f t="shared" si="64"/>
        <v>3712.5124000000005</v>
      </c>
    </row>
    <row r="355" spans="1:11" ht="51" customHeight="1">
      <c r="A355" s="65" t="s">
        <v>274</v>
      </c>
      <c r="B355" s="23" t="s">
        <v>13</v>
      </c>
      <c r="C355" s="409" t="s">
        <v>319</v>
      </c>
      <c r="D355" s="40" t="s">
        <v>323</v>
      </c>
      <c r="E355" s="23" t="s">
        <v>269</v>
      </c>
      <c r="F355" s="172">
        <f>1377*1.04*1.05*1.05</f>
        <v>1578.8682000000003</v>
      </c>
      <c r="G355" s="172"/>
      <c r="H355" s="172">
        <v>175</v>
      </c>
      <c r="I355" s="173"/>
      <c r="J355" s="173"/>
      <c r="K355" s="171">
        <f t="shared" si="64"/>
        <v>1753.8682000000003</v>
      </c>
    </row>
    <row r="356" spans="1:11" ht="51" customHeight="1">
      <c r="A356" s="65" t="s">
        <v>275</v>
      </c>
      <c r="B356" s="23" t="s">
        <v>60</v>
      </c>
      <c r="C356" s="409" t="s">
        <v>319</v>
      </c>
      <c r="D356" s="40" t="s">
        <v>323</v>
      </c>
      <c r="E356" s="23" t="s">
        <v>269</v>
      </c>
      <c r="F356" s="172">
        <f>3616*1.04*1.05*1.05</f>
        <v>4146.1056000000008</v>
      </c>
      <c r="G356" s="172"/>
      <c r="H356" s="172">
        <v>129</v>
      </c>
      <c r="I356" s="173"/>
      <c r="J356" s="173"/>
      <c r="K356" s="171">
        <f t="shared" si="64"/>
        <v>4275.1056000000008</v>
      </c>
    </row>
    <row r="357" spans="1:11" ht="51" customHeight="1">
      <c r="A357" s="65" t="s">
        <v>276</v>
      </c>
      <c r="B357" s="23" t="s">
        <v>107</v>
      </c>
      <c r="C357" s="409" t="s">
        <v>319</v>
      </c>
      <c r="D357" s="40" t="s">
        <v>323</v>
      </c>
      <c r="E357" s="23" t="s">
        <v>269</v>
      </c>
      <c r="F357" s="172">
        <f>4415*1.04*1.05*1.05</f>
        <v>5062.2390000000005</v>
      </c>
      <c r="G357" s="172"/>
      <c r="H357" s="172">
        <v>90</v>
      </c>
      <c r="I357" s="173"/>
      <c r="J357" s="173"/>
      <c r="K357" s="171">
        <f t="shared" si="64"/>
        <v>5152.2390000000005</v>
      </c>
    </row>
    <row r="358" spans="1:11" ht="51" customHeight="1">
      <c r="A358" s="65" t="s">
        <v>277</v>
      </c>
      <c r="B358" s="23" t="s">
        <v>29</v>
      </c>
      <c r="C358" s="409" t="s">
        <v>319</v>
      </c>
      <c r="D358" s="146" t="s">
        <v>323</v>
      </c>
      <c r="E358" s="23" t="s">
        <v>269</v>
      </c>
      <c r="F358" s="172">
        <f>4946.24*1.05*1.05</f>
        <v>5453.2295999999997</v>
      </c>
      <c r="G358" s="172"/>
      <c r="H358" s="172">
        <v>90</v>
      </c>
      <c r="I358" s="173"/>
      <c r="J358" s="173"/>
      <c r="K358" s="171">
        <f t="shared" si="64"/>
        <v>5543.2295999999997</v>
      </c>
    </row>
    <row r="359" spans="1:11" ht="51" customHeight="1">
      <c r="A359" s="65" t="s">
        <v>278</v>
      </c>
      <c r="B359" s="23" t="s">
        <v>39</v>
      </c>
      <c r="C359" s="409" t="s">
        <v>319</v>
      </c>
      <c r="D359" s="146" t="s">
        <v>323</v>
      </c>
      <c r="E359" s="23" t="s">
        <v>269</v>
      </c>
      <c r="F359" s="172">
        <f>4415*1.04*1.05*1.05</f>
        <v>5062.2390000000005</v>
      </c>
      <c r="G359" s="172"/>
      <c r="H359" s="172">
        <v>90</v>
      </c>
      <c r="I359" s="173"/>
      <c r="J359" s="173"/>
      <c r="K359" s="171">
        <f t="shared" si="64"/>
        <v>5152.2390000000005</v>
      </c>
    </row>
    <row r="360" spans="1:11" ht="51" customHeight="1">
      <c r="A360" s="65" t="s">
        <v>279</v>
      </c>
      <c r="B360" s="23" t="s">
        <v>45</v>
      </c>
      <c r="C360" s="40" t="s">
        <v>319</v>
      </c>
      <c r="D360" s="352" t="s">
        <v>323</v>
      </c>
      <c r="E360" s="23" t="s">
        <v>269</v>
      </c>
      <c r="F360" s="172">
        <f>4415*1.04*1.05*1.05</f>
        <v>5062.2390000000005</v>
      </c>
      <c r="G360" s="172"/>
      <c r="H360" s="172">
        <v>90</v>
      </c>
      <c r="I360" s="173"/>
      <c r="J360" s="173"/>
      <c r="K360" s="171">
        <f t="shared" si="64"/>
        <v>5152.2390000000005</v>
      </c>
    </row>
    <row r="361" spans="1:11" ht="51" customHeight="1">
      <c r="A361" s="65" t="s">
        <v>280</v>
      </c>
      <c r="B361" s="23" t="s">
        <v>112</v>
      </c>
      <c r="C361" s="40" t="s">
        <v>319</v>
      </c>
      <c r="D361" s="146" t="s">
        <v>323</v>
      </c>
      <c r="E361" s="23" t="s">
        <v>269</v>
      </c>
      <c r="F361" s="172">
        <f>4415*1.04*1.05*1.05</f>
        <v>5062.2390000000005</v>
      </c>
      <c r="G361" s="172"/>
      <c r="H361" s="172">
        <v>90</v>
      </c>
      <c r="I361" s="173"/>
      <c r="J361" s="173"/>
      <c r="K361" s="171">
        <f t="shared" si="64"/>
        <v>5152.2390000000005</v>
      </c>
    </row>
    <row r="362" spans="1:11" ht="51" customHeight="1">
      <c r="A362" s="65" t="s">
        <v>281</v>
      </c>
      <c r="B362" s="23" t="s">
        <v>53</v>
      </c>
      <c r="C362" s="40" t="s">
        <v>319</v>
      </c>
      <c r="D362" s="146" t="s">
        <v>323</v>
      </c>
      <c r="E362" s="23" t="s">
        <v>269</v>
      </c>
      <c r="F362" s="172">
        <f>4067*1.04*1.05*1.05</f>
        <v>4663.2222000000011</v>
      </c>
      <c r="G362" s="172"/>
      <c r="H362" s="172">
        <v>111</v>
      </c>
      <c r="I362" s="173"/>
      <c r="J362" s="173"/>
      <c r="K362" s="171">
        <f t="shared" si="64"/>
        <v>4774.2222000000011</v>
      </c>
    </row>
    <row r="363" spans="1:11" ht="51" customHeight="1">
      <c r="A363" s="74" t="s">
        <v>282</v>
      </c>
      <c r="B363" s="23" t="s">
        <v>13</v>
      </c>
      <c r="C363" s="40" t="s">
        <v>319</v>
      </c>
      <c r="D363" s="38" t="s">
        <v>323</v>
      </c>
      <c r="E363" s="23" t="s">
        <v>269</v>
      </c>
      <c r="F363" s="172">
        <f>3026*1.04*1.05*1.05</f>
        <v>3469.6116000000006</v>
      </c>
      <c r="G363" s="172"/>
      <c r="H363" s="172">
        <v>142</v>
      </c>
      <c r="I363" s="172"/>
      <c r="J363" s="173"/>
      <c r="K363" s="171">
        <f t="shared" si="64"/>
        <v>3611.6116000000006</v>
      </c>
    </row>
    <row r="364" spans="1:11" ht="51" customHeight="1">
      <c r="A364" s="65" t="s">
        <v>283</v>
      </c>
      <c r="B364" s="23" t="s">
        <v>114</v>
      </c>
      <c r="C364" s="409" t="s">
        <v>319</v>
      </c>
      <c r="D364" s="45" t="s">
        <v>323</v>
      </c>
      <c r="E364" s="23" t="s">
        <v>269</v>
      </c>
      <c r="F364" s="172">
        <f>4415*1.04*1.05*1.05</f>
        <v>5062.2390000000005</v>
      </c>
      <c r="G364" s="172"/>
      <c r="H364" s="172">
        <v>90</v>
      </c>
      <c r="I364" s="172"/>
      <c r="J364" s="173"/>
      <c r="K364" s="171">
        <f t="shared" si="64"/>
        <v>5152.2390000000005</v>
      </c>
    </row>
    <row r="365" spans="1:11" ht="51" customHeight="1">
      <c r="A365" s="65" t="s">
        <v>284</v>
      </c>
      <c r="B365" s="23" t="s">
        <v>52</v>
      </c>
      <c r="C365" s="409" t="s">
        <v>319</v>
      </c>
      <c r="D365" s="37" t="s">
        <v>323</v>
      </c>
      <c r="E365" s="23" t="s">
        <v>269</v>
      </c>
      <c r="F365" s="172">
        <f>3742*1.04*1.05*1.05</f>
        <v>4290.5772000000006</v>
      </c>
      <c r="G365" s="172"/>
      <c r="H365" s="172">
        <v>129</v>
      </c>
      <c r="I365" s="172"/>
      <c r="J365" s="173"/>
      <c r="K365" s="171">
        <f t="shared" si="64"/>
        <v>4419.5772000000006</v>
      </c>
    </row>
    <row r="366" spans="1:11" ht="51" customHeight="1">
      <c r="A366" s="65" t="s">
        <v>239</v>
      </c>
      <c r="B366" s="23" t="s">
        <v>76</v>
      </c>
      <c r="C366" s="409" t="s">
        <v>319</v>
      </c>
      <c r="D366" s="45" t="s">
        <v>323</v>
      </c>
      <c r="E366" s="23" t="s">
        <v>269</v>
      </c>
      <c r="F366" s="172">
        <f>8202*1.04*1.05*1.05</f>
        <v>9404.4132000000009</v>
      </c>
      <c r="G366" s="172"/>
      <c r="H366" s="172"/>
      <c r="I366" s="172"/>
      <c r="J366" s="173"/>
      <c r="K366" s="171">
        <f t="shared" si="64"/>
        <v>9404.4132000000009</v>
      </c>
    </row>
    <row r="367" spans="1:11" ht="51" customHeight="1">
      <c r="A367" s="65" t="s">
        <v>348</v>
      </c>
      <c r="B367" s="23" t="s">
        <v>349</v>
      </c>
      <c r="C367" s="409" t="s">
        <v>319</v>
      </c>
      <c r="D367" s="38" t="s">
        <v>323</v>
      </c>
      <c r="E367" s="23" t="s">
        <v>269</v>
      </c>
      <c r="F367" s="172">
        <f>2651*1.04*1.05*1.05</f>
        <v>3039.6366000000003</v>
      </c>
      <c r="G367" s="172"/>
      <c r="H367" s="172">
        <v>142</v>
      </c>
      <c r="I367" s="172"/>
      <c r="J367" s="173"/>
      <c r="K367" s="171">
        <f t="shared" si="64"/>
        <v>3181.6366000000003</v>
      </c>
    </row>
    <row r="368" spans="1:11" ht="40.5" customHeight="1">
      <c r="A368" s="63" t="s">
        <v>214</v>
      </c>
      <c r="B368" s="23" t="s">
        <v>113</v>
      </c>
      <c r="C368" s="409" t="s">
        <v>319</v>
      </c>
      <c r="D368" s="45" t="s">
        <v>323</v>
      </c>
      <c r="E368" s="23" t="s">
        <v>269</v>
      </c>
      <c r="F368" s="171">
        <f>4415*1.04*1.05*1.05</f>
        <v>5062.2390000000005</v>
      </c>
      <c r="G368" s="171"/>
      <c r="H368" s="171">
        <v>90</v>
      </c>
      <c r="I368" s="171"/>
      <c r="J368" s="173"/>
      <c r="K368" s="171">
        <f t="shared" si="64"/>
        <v>5152.2390000000005</v>
      </c>
    </row>
    <row r="369" spans="1:11" ht="40.5" customHeight="1">
      <c r="A369" s="73" t="s">
        <v>154</v>
      </c>
      <c r="B369" s="45" t="s">
        <v>126</v>
      </c>
      <c r="C369" s="409" t="s">
        <v>319</v>
      </c>
      <c r="D369" s="164" t="s">
        <v>323</v>
      </c>
      <c r="E369" s="165" t="s">
        <v>367</v>
      </c>
      <c r="F369" s="171">
        <f>3784*1.04*1.05*1.05</f>
        <v>4338.7344000000012</v>
      </c>
      <c r="G369" s="218"/>
      <c r="H369" s="253">
        <v>90</v>
      </c>
      <c r="I369" s="254"/>
      <c r="J369" s="173"/>
      <c r="K369" s="171">
        <f t="shared" si="64"/>
        <v>4428.7344000000012</v>
      </c>
    </row>
    <row r="370" spans="1:11" ht="40.5" customHeight="1">
      <c r="A370" s="63" t="s">
        <v>392</v>
      </c>
      <c r="B370" s="40" t="s">
        <v>380</v>
      </c>
      <c r="C370" s="409" t="s">
        <v>319</v>
      </c>
      <c r="D370" s="166" t="s">
        <v>323</v>
      </c>
      <c r="E370" s="39" t="s">
        <v>367</v>
      </c>
      <c r="F370" s="171">
        <f>3312*1.04*1.05*1.05</f>
        <v>3797.5392000000002</v>
      </c>
      <c r="G370" s="218"/>
      <c r="H370" s="218">
        <v>138</v>
      </c>
      <c r="I370" s="218"/>
      <c r="J370" s="173"/>
      <c r="K370" s="171">
        <f t="shared" si="64"/>
        <v>3935.5392000000002</v>
      </c>
    </row>
    <row r="371" spans="1:11" ht="40.5" customHeight="1">
      <c r="A371" s="107" t="s">
        <v>227</v>
      </c>
      <c r="B371" s="40" t="s">
        <v>43</v>
      </c>
      <c r="C371" s="409" t="s">
        <v>319</v>
      </c>
      <c r="D371" s="166" t="s">
        <v>323</v>
      </c>
      <c r="E371" s="40" t="s">
        <v>367</v>
      </c>
      <c r="F371" s="214">
        <f>3709*1.04*1.05*1.05</f>
        <v>4252.7394000000004</v>
      </c>
      <c r="G371" s="214"/>
      <c r="H371" s="214">
        <v>129</v>
      </c>
      <c r="I371" s="214"/>
      <c r="J371" s="173"/>
      <c r="K371" s="171">
        <f t="shared" si="64"/>
        <v>4381.7394000000004</v>
      </c>
    </row>
    <row r="372" spans="1:11" ht="40.5" customHeight="1">
      <c r="A372" s="65" t="s">
        <v>259</v>
      </c>
      <c r="B372" s="23" t="s">
        <v>99</v>
      </c>
      <c r="C372" s="416" t="s">
        <v>319</v>
      </c>
      <c r="D372" s="167" t="s">
        <v>323</v>
      </c>
      <c r="E372" s="119" t="s">
        <v>385</v>
      </c>
      <c r="F372" s="171">
        <f>2646*1.04*1.05*1.05</f>
        <v>3033.9036000000006</v>
      </c>
      <c r="G372" s="171"/>
      <c r="H372" s="185">
        <v>129</v>
      </c>
      <c r="I372" s="186"/>
      <c r="J372" s="173"/>
      <c r="K372" s="171">
        <f t="shared" si="64"/>
        <v>3162.9036000000006</v>
      </c>
    </row>
    <row r="373" spans="1:11" ht="51" customHeight="1">
      <c r="A373" s="65" t="s">
        <v>257</v>
      </c>
      <c r="B373" s="23" t="s">
        <v>71</v>
      </c>
      <c r="C373" s="331" t="s">
        <v>319</v>
      </c>
      <c r="D373" s="40" t="s">
        <v>323</v>
      </c>
      <c r="E373" s="24" t="s">
        <v>367</v>
      </c>
      <c r="F373" s="171">
        <f>4403*1.04*1.05*1.05</f>
        <v>5048.4798000000001</v>
      </c>
      <c r="G373" s="171"/>
      <c r="H373" s="171">
        <v>90</v>
      </c>
      <c r="I373" s="171"/>
      <c r="J373" s="173"/>
      <c r="K373" s="171">
        <f t="shared" si="64"/>
        <v>5138.4798000000001</v>
      </c>
    </row>
    <row r="374" spans="1:11" ht="51" customHeight="1">
      <c r="A374" s="65" t="s">
        <v>261</v>
      </c>
      <c r="B374" s="23" t="s">
        <v>101</v>
      </c>
      <c r="C374" s="40" t="s">
        <v>319</v>
      </c>
      <c r="D374" s="162" t="s">
        <v>323</v>
      </c>
      <c r="E374" s="24" t="s">
        <v>367</v>
      </c>
      <c r="F374" s="171">
        <f>4067*1.04*1.05*1.05</f>
        <v>4663.2222000000011</v>
      </c>
      <c r="G374" s="172"/>
      <c r="H374" s="172">
        <v>111</v>
      </c>
      <c r="I374" s="172"/>
      <c r="J374" s="173"/>
      <c r="K374" s="171">
        <f t="shared" si="64"/>
        <v>4774.2222000000011</v>
      </c>
    </row>
    <row r="375" spans="1:11" ht="51" customHeight="1">
      <c r="A375" s="65" t="s">
        <v>242</v>
      </c>
      <c r="B375" s="23" t="s">
        <v>81</v>
      </c>
      <c r="C375" s="409" t="s">
        <v>319</v>
      </c>
      <c r="D375" s="38" t="s">
        <v>323</v>
      </c>
      <c r="E375" s="168" t="s">
        <v>367</v>
      </c>
      <c r="F375" s="171">
        <f>7215*1.04*1.05*1.05</f>
        <v>8272.719000000001</v>
      </c>
      <c r="G375" s="171"/>
      <c r="H375" s="171"/>
      <c r="I375" s="171"/>
      <c r="J375" s="173"/>
      <c r="K375" s="171">
        <f t="shared" si="64"/>
        <v>8272.719000000001</v>
      </c>
    </row>
    <row r="376" spans="1:11" ht="51" customHeight="1">
      <c r="A376" s="63" t="s">
        <v>228</v>
      </c>
      <c r="B376" s="40" t="s">
        <v>58</v>
      </c>
      <c r="C376" s="409" t="s">
        <v>319</v>
      </c>
      <c r="D376" s="38" t="s">
        <v>323</v>
      </c>
      <c r="E376" s="24" t="s">
        <v>367</v>
      </c>
      <c r="F376" s="171">
        <f>4415*1.04*1.05*1.05</f>
        <v>5062.2390000000005</v>
      </c>
      <c r="G376" s="214"/>
      <c r="H376" s="214">
        <v>90</v>
      </c>
      <c r="I376" s="214"/>
      <c r="J376" s="173"/>
      <c r="K376" s="171">
        <f t="shared" si="64"/>
        <v>5152.2390000000005</v>
      </c>
    </row>
    <row r="377" spans="1:11" ht="51" customHeight="1">
      <c r="A377" s="63" t="s">
        <v>452</v>
      </c>
      <c r="B377" s="40" t="s">
        <v>42</v>
      </c>
      <c r="C377" s="409" t="s">
        <v>319</v>
      </c>
      <c r="D377" s="40" t="s">
        <v>323</v>
      </c>
      <c r="E377" s="24" t="s">
        <v>367</v>
      </c>
      <c r="F377" s="171">
        <f>6515*1.04*1.05*1.05</f>
        <v>7470.0990000000011</v>
      </c>
      <c r="G377" s="214"/>
      <c r="H377" s="214"/>
      <c r="I377" s="214"/>
      <c r="J377" s="173"/>
      <c r="K377" s="171">
        <f t="shared" si="64"/>
        <v>7470.0990000000011</v>
      </c>
    </row>
    <row r="378" spans="1:11" ht="51" customHeight="1">
      <c r="A378" s="63" t="s">
        <v>453</v>
      </c>
      <c r="B378" s="52" t="s">
        <v>74</v>
      </c>
      <c r="C378" s="409" t="s">
        <v>319</v>
      </c>
      <c r="D378" s="40" t="s">
        <v>323</v>
      </c>
      <c r="E378" s="24" t="s">
        <v>367</v>
      </c>
      <c r="F378" s="171">
        <f>7215*1.04*1.05*1.05</f>
        <v>8272.719000000001</v>
      </c>
      <c r="G378" s="214"/>
      <c r="H378" s="214"/>
      <c r="I378" s="214"/>
      <c r="J378" s="173"/>
      <c r="K378" s="171">
        <f t="shared" si="64"/>
        <v>8272.719000000001</v>
      </c>
    </row>
    <row r="379" spans="1:11" ht="51" customHeight="1">
      <c r="A379" s="65" t="s">
        <v>240</v>
      </c>
      <c r="B379" s="23" t="s">
        <v>75</v>
      </c>
      <c r="C379" s="409" t="s">
        <v>319</v>
      </c>
      <c r="D379" s="38" t="s">
        <v>323</v>
      </c>
      <c r="E379" s="255" t="s">
        <v>367</v>
      </c>
      <c r="F379" s="171">
        <f>6335*1.04*1.05*1.05</f>
        <v>7263.7110000000011</v>
      </c>
      <c r="G379" s="214"/>
      <c r="H379" s="214"/>
      <c r="I379" s="214"/>
      <c r="J379" s="173"/>
      <c r="K379" s="171">
        <f t="shared" si="64"/>
        <v>7263.7110000000011</v>
      </c>
    </row>
    <row r="380" spans="1:11" ht="51" customHeight="1">
      <c r="A380" s="65" t="s">
        <v>245</v>
      </c>
      <c r="B380" s="23" t="s">
        <v>77</v>
      </c>
      <c r="C380" s="409" t="s">
        <v>319</v>
      </c>
      <c r="D380" s="38" t="s">
        <v>323</v>
      </c>
      <c r="E380" s="39" t="s">
        <v>367</v>
      </c>
      <c r="F380" s="171">
        <f>4817*1.04*1.05*1.05</f>
        <v>5523.1722000000009</v>
      </c>
      <c r="G380" s="171"/>
      <c r="H380" s="214"/>
      <c r="I380" s="214"/>
      <c r="J380" s="173"/>
      <c r="K380" s="171">
        <f t="shared" si="64"/>
        <v>5523.1722000000009</v>
      </c>
    </row>
    <row r="381" spans="1:11" ht="51" customHeight="1">
      <c r="A381" s="65" t="s">
        <v>512</v>
      </c>
      <c r="B381" s="24" t="s">
        <v>595</v>
      </c>
      <c r="C381" s="409" t="s">
        <v>319</v>
      </c>
      <c r="D381" s="38" t="s">
        <v>323</v>
      </c>
      <c r="E381" s="39" t="s">
        <v>367</v>
      </c>
      <c r="F381" s="171">
        <f>8886*1.04*1.05*1.05</f>
        <v>10188.687600000001</v>
      </c>
      <c r="G381" s="171"/>
      <c r="H381" s="214"/>
      <c r="I381" s="214"/>
      <c r="J381" s="173"/>
      <c r="K381" s="171">
        <f t="shared" si="64"/>
        <v>10188.687600000001</v>
      </c>
    </row>
    <row r="382" spans="1:11" ht="51" customHeight="1">
      <c r="A382" s="65" t="s">
        <v>513</v>
      </c>
      <c r="B382" s="24" t="s">
        <v>596</v>
      </c>
      <c r="C382" s="409" t="s">
        <v>319</v>
      </c>
      <c r="D382" s="38" t="s">
        <v>323</v>
      </c>
      <c r="E382" s="39" t="s">
        <v>367</v>
      </c>
      <c r="F382" s="171">
        <f>6019*1.04*1.05*1.05</f>
        <v>6901.385400000001</v>
      </c>
      <c r="G382" s="171"/>
      <c r="H382" s="214"/>
      <c r="I382" s="214"/>
      <c r="J382" s="173"/>
      <c r="K382" s="171">
        <f t="shared" si="64"/>
        <v>6901.385400000001</v>
      </c>
    </row>
    <row r="383" spans="1:11" ht="51" customHeight="1">
      <c r="A383" s="65" t="s">
        <v>514</v>
      </c>
      <c r="B383" s="24" t="s">
        <v>597</v>
      </c>
      <c r="C383" s="409" t="s">
        <v>319</v>
      </c>
      <c r="D383" s="38" t="s">
        <v>323</v>
      </c>
      <c r="E383" s="39" t="s">
        <v>367</v>
      </c>
      <c r="F383" s="171">
        <f>6338*1.04*1.05*1.05</f>
        <v>7267.1508000000003</v>
      </c>
      <c r="G383" s="171"/>
      <c r="H383" s="214"/>
      <c r="I383" s="214"/>
      <c r="J383" s="173"/>
      <c r="K383" s="171">
        <f t="shared" si="64"/>
        <v>7267.1508000000003</v>
      </c>
    </row>
    <row r="384" spans="1:11" ht="51" customHeight="1">
      <c r="A384" s="65" t="s">
        <v>515</v>
      </c>
      <c r="B384" s="24"/>
      <c r="C384" s="409" t="s">
        <v>319</v>
      </c>
      <c r="D384" s="38" t="s">
        <v>323</v>
      </c>
      <c r="E384" s="39" t="s">
        <v>367</v>
      </c>
      <c r="F384" s="171">
        <f>2891*1.04*1.05*1.05</f>
        <v>3314.8206000000009</v>
      </c>
      <c r="G384" s="171"/>
      <c r="H384" s="214">
        <v>90</v>
      </c>
      <c r="I384" s="214"/>
      <c r="J384" s="173"/>
      <c r="K384" s="171">
        <f t="shared" si="64"/>
        <v>3404.8206000000009</v>
      </c>
    </row>
    <row r="385" spans="1:11" ht="51" customHeight="1">
      <c r="A385" s="65" t="s">
        <v>516</v>
      </c>
      <c r="B385" s="24" t="s">
        <v>598</v>
      </c>
      <c r="C385" s="409" t="s">
        <v>319</v>
      </c>
      <c r="D385" s="38" t="s">
        <v>323</v>
      </c>
      <c r="E385" s="39" t="s">
        <v>367</v>
      </c>
      <c r="F385" s="171">
        <f>4707*1.04*1.05*1.05</f>
        <v>5397.0461999999998</v>
      </c>
      <c r="G385" s="171"/>
      <c r="H385" s="214">
        <v>90</v>
      </c>
      <c r="I385" s="214"/>
      <c r="J385" s="173"/>
      <c r="K385" s="171">
        <f t="shared" si="64"/>
        <v>5487.0461999999998</v>
      </c>
    </row>
    <row r="386" spans="1:11" s="4" customFormat="1" ht="51" customHeight="1">
      <c r="A386" s="63" t="s">
        <v>148</v>
      </c>
      <c r="B386" s="40" t="s">
        <v>123</v>
      </c>
      <c r="C386" s="409" t="s">
        <v>319</v>
      </c>
      <c r="D386" s="124" t="s">
        <v>323</v>
      </c>
      <c r="E386" s="40" t="s">
        <v>630</v>
      </c>
      <c r="F386" s="171">
        <f>6035*1.04*1.05*1.05</f>
        <v>6919.7310000000016</v>
      </c>
      <c r="G386" s="171"/>
      <c r="H386" s="171"/>
      <c r="I386" s="171"/>
      <c r="J386" s="173"/>
      <c r="K386" s="171">
        <f t="shared" si="64"/>
        <v>6919.7310000000016</v>
      </c>
    </row>
    <row r="387" spans="1:11" ht="51" customHeight="1">
      <c r="A387" s="65" t="s">
        <v>631</v>
      </c>
      <c r="B387" s="23" t="s">
        <v>632</v>
      </c>
      <c r="C387" s="409" t="s">
        <v>319</v>
      </c>
      <c r="D387" s="124" t="s">
        <v>323</v>
      </c>
      <c r="E387" s="40" t="s">
        <v>630</v>
      </c>
      <c r="F387" s="171">
        <f>4985.28/2*1.05*1.05</f>
        <v>2748.1356000000001</v>
      </c>
      <c r="G387" s="171"/>
      <c r="H387" s="171"/>
      <c r="I387" s="171"/>
      <c r="J387" s="173"/>
      <c r="K387" s="171">
        <f t="shared" si="64"/>
        <v>2748.1356000000001</v>
      </c>
    </row>
    <row r="388" spans="1:11" ht="51" customHeight="1">
      <c r="A388" s="65" t="s">
        <v>655</v>
      </c>
      <c r="B388" s="301" t="s">
        <v>654</v>
      </c>
      <c r="C388" s="409" t="s">
        <v>319</v>
      </c>
      <c r="D388" s="124" t="s">
        <v>323</v>
      </c>
      <c r="E388" s="40" t="s">
        <v>630</v>
      </c>
      <c r="F388" s="171">
        <f>6173.44/2*1.05*1.05</f>
        <v>3403.1088</v>
      </c>
      <c r="G388" s="171"/>
      <c r="H388" s="171"/>
      <c r="I388" s="171"/>
      <c r="J388" s="173"/>
      <c r="K388" s="171">
        <f t="shared" si="64"/>
        <v>3403.1088</v>
      </c>
    </row>
    <row r="389" spans="1:11" ht="51" customHeight="1">
      <c r="A389" s="94" t="s">
        <v>254</v>
      </c>
      <c r="B389" s="294" t="s">
        <v>69</v>
      </c>
      <c r="C389" s="407" t="s">
        <v>319</v>
      </c>
      <c r="D389" s="37" t="s">
        <v>323</v>
      </c>
      <c r="E389" s="39" t="s">
        <v>367</v>
      </c>
      <c r="F389" s="171">
        <f>4432*1.05*1.05*1.05</f>
        <v>5130.594000000001</v>
      </c>
      <c r="G389" s="172"/>
      <c r="H389" s="172">
        <v>90</v>
      </c>
      <c r="I389" s="172"/>
      <c r="J389" s="173"/>
      <c r="K389" s="171">
        <f t="shared" si="64"/>
        <v>5220.594000000001</v>
      </c>
    </row>
    <row r="390" spans="1:11" ht="40.5" customHeight="1">
      <c r="A390" s="99" t="s">
        <v>220</v>
      </c>
      <c r="B390" s="37" t="s">
        <v>34</v>
      </c>
      <c r="C390" s="408" t="s">
        <v>319</v>
      </c>
      <c r="D390" s="53" t="s">
        <v>323</v>
      </c>
      <c r="E390" s="39" t="s">
        <v>367</v>
      </c>
      <c r="F390" s="171">
        <f>4635.75*1.05*1.05*0.6</f>
        <v>3066.5486249999999</v>
      </c>
      <c r="G390" s="171"/>
      <c r="H390" s="171">
        <v>90</v>
      </c>
      <c r="I390" s="184"/>
      <c r="J390" s="173"/>
      <c r="K390" s="171">
        <f t="shared" si="64"/>
        <v>3156.5486249999999</v>
      </c>
    </row>
    <row r="391" spans="1:11" ht="51" customHeight="1" thickBot="1">
      <c r="A391" s="65" t="s">
        <v>517</v>
      </c>
      <c r="B391" s="24" t="s">
        <v>599</v>
      </c>
      <c r="C391" s="409" t="s">
        <v>319</v>
      </c>
      <c r="D391" s="38" t="s">
        <v>323</v>
      </c>
      <c r="E391" s="39" t="s">
        <v>367</v>
      </c>
      <c r="F391" s="171">
        <f>3018*1.04*1.05*1.05</f>
        <v>3460.4388000000004</v>
      </c>
      <c r="G391" s="171"/>
      <c r="H391" s="214">
        <v>90</v>
      </c>
      <c r="I391" s="214"/>
      <c r="J391" s="173"/>
      <c r="K391" s="171">
        <f t="shared" si="64"/>
        <v>3550.4388000000004</v>
      </c>
    </row>
    <row r="392" spans="1:11" ht="25.5" customHeight="1" thickTop="1" thickBot="1">
      <c r="A392" s="65"/>
      <c r="B392" s="23"/>
      <c r="D392" s="40"/>
      <c r="E392" s="56" t="s">
        <v>6</v>
      </c>
      <c r="F392" s="180">
        <f>SUM(F351:F391)</f>
        <v>200692.67242500006</v>
      </c>
      <c r="G392" s="180">
        <f t="shared" ref="G392:J392" si="65">SUM(G351:G391)</f>
        <v>0</v>
      </c>
      <c r="H392" s="180">
        <f>SUM(H351:H391)</f>
        <v>3344</v>
      </c>
      <c r="I392" s="180">
        <f t="shared" si="65"/>
        <v>0</v>
      </c>
      <c r="J392" s="180">
        <f t="shared" si="65"/>
        <v>0</v>
      </c>
      <c r="K392" s="180">
        <f>SUM(K351:K391)</f>
        <v>204036.67242500008</v>
      </c>
    </row>
    <row r="393" spans="1:11" ht="25.5" customHeight="1" thickBot="1">
      <c r="A393" s="65"/>
      <c r="B393" s="23"/>
      <c r="D393" s="110"/>
      <c r="E393" s="174" t="s">
        <v>329</v>
      </c>
      <c r="F393" s="175">
        <f>F392-[15]MADRE!$H$489</f>
        <v>0</v>
      </c>
      <c r="G393" s="175">
        <f>G392-[6]MADRE!$I$502</f>
        <v>0</v>
      </c>
      <c r="H393" s="175">
        <f>H392-[15]MADRE!$J$489</f>
        <v>0</v>
      </c>
      <c r="I393" s="175">
        <f>I392-[2]MADRE!K$502</f>
        <v>0</v>
      </c>
      <c r="J393" s="175">
        <f>J392-[3]MADRE!$L$489</f>
        <v>0</v>
      </c>
      <c r="K393" s="175">
        <f>K392-[3]MADRE!$M$489</f>
        <v>0</v>
      </c>
    </row>
    <row r="394" spans="1:11" ht="15" customHeight="1">
      <c r="A394" s="26" t="s">
        <v>320</v>
      </c>
      <c r="B394" s="324"/>
      <c r="C394" s="109"/>
      <c r="D394" s="109"/>
      <c r="E394" s="29"/>
      <c r="F394" s="29"/>
      <c r="G394" s="29"/>
      <c r="H394" s="29"/>
      <c r="I394" s="29"/>
      <c r="J394" s="397"/>
      <c r="K394" s="29"/>
    </row>
    <row r="395" spans="1:11" ht="54" customHeight="1">
      <c r="A395" s="65" t="s">
        <v>604</v>
      </c>
      <c r="B395" s="23" t="s">
        <v>605</v>
      </c>
      <c r="C395" s="40" t="s">
        <v>319</v>
      </c>
      <c r="D395" s="40" t="s">
        <v>324</v>
      </c>
      <c r="E395" s="24" t="s">
        <v>285</v>
      </c>
      <c r="F395" s="172">
        <f>1625*1.04*1.05*1.05</f>
        <v>1863.2250000000001</v>
      </c>
      <c r="G395" s="172"/>
      <c r="H395" s="172">
        <v>175</v>
      </c>
      <c r="I395" s="172"/>
      <c r="J395" s="173"/>
      <c r="K395" s="171">
        <f>F395+H395+J395</f>
        <v>2038.2250000000001</v>
      </c>
    </row>
    <row r="396" spans="1:11" ht="51" customHeight="1">
      <c r="A396" s="65" t="s">
        <v>286</v>
      </c>
      <c r="B396" s="23" t="s">
        <v>109</v>
      </c>
      <c r="C396" s="40" t="s">
        <v>319</v>
      </c>
      <c r="D396" s="40" t="s">
        <v>324</v>
      </c>
      <c r="E396" s="24" t="s">
        <v>285</v>
      </c>
      <c r="F396" s="172">
        <f>1625*1.04*1.05*1.05</f>
        <v>1863.2250000000001</v>
      </c>
      <c r="G396" s="172"/>
      <c r="H396" s="172">
        <v>175</v>
      </c>
      <c r="I396" s="172"/>
      <c r="J396" s="173"/>
      <c r="K396" s="171">
        <f t="shared" ref="K396:K403" si="66">F396+H396+J396</f>
        <v>2038.2250000000001</v>
      </c>
    </row>
    <row r="397" spans="1:11" ht="51" customHeight="1">
      <c r="A397" s="65" t="s">
        <v>611</v>
      </c>
      <c r="B397" s="23" t="s">
        <v>612</v>
      </c>
      <c r="C397" s="40" t="s">
        <v>319</v>
      </c>
      <c r="D397" s="40" t="s">
        <v>324</v>
      </c>
      <c r="E397" s="24" t="s">
        <v>285</v>
      </c>
      <c r="F397" s="172">
        <f>1625*1.04*1.05*1.05</f>
        <v>1863.2250000000001</v>
      </c>
      <c r="G397" s="172"/>
      <c r="H397" s="172">
        <v>175</v>
      </c>
      <c r="I397" s="172"/>
      <c r="J397" s="173"/>
      <c r="K397" s="171">
        <f t="shared" si="66"/>
        <v>2038.2250000000001</v>
      </c>
    </row>
    <row r="398" spans="1:11" ht="51" customHeight="1">
      <c r="A398" s="65" t="s">
        <v>287</v>
      </c>
      <c r="B398" s="23" t="s">
        <v>370</v>
      </c>
      <c r="C398" s="40" t="s">
        <v>319</v>
      </c>
      <c r="D398" s="40" t="s">
        <v>324</v>
      </c>
      <c r="E398" s="24" t="s">
        <v>285</v>
      </c>
      <c r="F398" s="172">
        <v>1700</v>
      </c>
      <c r="G398" s="172"/>
      <c r="H398" s="172">
        <v>175</v>
      </c>
      <c r="I398" s="173"/>
      <c r="J398" s="173"/>
      <c r="K398" s="171">
        <f t="shared" si="66"/>
        <v>1875</v>
      </c>
    </row>
    <row r="399" spans="1:11" ht="51" customHeight="1">
      <c r="A399" s="65" t="s">
        <v>652</v>
      </c>
      <c r="B399" s="23" t="s">
        <v>653</v>
      </c>
      <c r="C399" s="40" t="s">
        <v>319</v>
      </c>
      <c r="D399" s="40" t="s">
        <v>324</v>
      </c>
      <c r="E399" s="24" t="s">
        <v>285</v>
      </c>
      <c r="F399" s="172">
        <f>3778.88/2*1.05*1.05</f>
        <v>2083.1076000000003</v>
      </c>
      <c r="G399" s="172"/>
      <c r="H399" s="172"/>
      <c r="I399" s="173"/>
      <c r="J399" s="173"/>
      <c r="K399" s="171">
        <f t="shared" si="66"/>
        <v>2083.1076000000003</v>
      </c>
    </row>
    <row r="400" spans="1:11" ht="51" customHeight="1">
      <c r="A400" s="89" t="s">
        <v>526</v>
      </c>
      <c r="B400" s="24" t="s">
        <v>589</v>
      </c>
      <c r="C400" s="40" t="s">
        <v>319</v>
      </c>
      <c r="D400" s="23" t="s">
        <v>324</v>
      </c>
      <c r="E400" s="24" t="s">
        <v>285</v>
      </c>
      <c r="F400" s="171">
        <f>3994.1*1.05</f>
        <v>4193.8050000000003</v>
      </c>
      <c r="G400" s="171"/>
      <c r="H400" s="171"/>
      <c r="I400" s="171"/>
      <c r="J400" s="173"/>
      <c r="K400" s="171">
        <f t="shared" si="66"/>
        <v>4193.8050000000003</v>
      </c>
    </row>
    <row r="401" spans="1:11" ht="51" customHeight="1">
      <c r="A401" s="89" t="s">
        <v>738</v>
      </c>
      <c r="B401" s="24" t="s">
        <v>739</v>
      </c>
      <c r="C401" s="40" t="s">
        <v>321</v>
      </c>
      <c r="D401" s="23" t="s">
        <v>324</v>
      </c>
      <c r="E401" s="24" t="s">
        <v>285</v>
      </c>
      <c r="F401" s="171">
        <f>6048.59/2</f>
        <v>3024.2950000000001</v>
      </c>
      <c r="G401" s="171"/>
      <c r="H401" s="171">
        <v>30</v>
      </c>
      <c r="I401" s="171"/>
      <c r="J401" s="173"/>
      <c r="K401" s="171">
        <f t="shared" si="66"/>
        <v>3054.2950000000001</v>
      </c>
    </row>
    <row r="402" spans="1:11" ht="51" customHeight="1">
      <c r="A402" s="73" t="s">
        <v>179</v>
      </c>
      <c r="B402" s="36" t="s">
        <v>93</v>
      </c>
      <c r="C402" s="408" t="s">
        <v>319</v>
      </c>
      <c r="D402" s="37" t="s">
        <v>324</v>
      </c>
      <c r="E402" s="24" t="s">
        <v>285</v>
      </c>
      <c r="F402" s="171">
        <f>5545*1.05*1.05*1.05*0.6</f>
        <v>3851.4183750000002</v>
      </c>
      <c r="G402" s="171"/>
      <c r="H402" s="185"/>
      <c r="I402" s="186">
        <v>126</v>
      </c>
      <c r="J402" s="173"/>
      <c r="K402" s="171">
        <f>F402+H402+J402+I402</f>
        <v>3977.4183750000002</v>
      </c>
    </row>
    <row r="403" spans="1:11" s="4" customFormat="1" ht="51" customHeight="1" thickBot="1">
      <c r="A403" s="63" t="s">
        <v>518</v>
      </c>
      <c r="B403" s="40"/>
      <c r="C403" s="40" t="s">
        <v>319</v>
      </c>
      <c r="D403" s="40" t="s">
        <v>324</v>
      </c>
      <c r="E403" s="39" t="s">
        <v>285</v>
      </c>
      <c r="F403" s="171">
        <f>4079*1.04*1.05*1.05</f>
        <v>4676.9814000000006</v>
      </c>
      <c r="G403" s="171"/>
      <c r="H403" s="171">
        <v>90</v>
      </c>
      <c r="I403" s="171"/>
      <c r="J403" s="173"/>
      <c r="K403" s="171">
        <f t="shared" si="66"/>
        <v>4766.9814000000006</v>
      </c>
    </row>
    <row r="404" spans="1:11" ht="25.5" customHeight="1" thickTop="1" thickBot="1">
      <c r="A404" s="108"/>
      <c r="B404" s="33"/>
      <c r="D404" s="23"/>
      <c r="E404" s="56" t="s">
        <v>6</v>
      </c>
      <c r="F404" s="180">
        <f>SUM(F395:F403)</f>
        <v>25119.282375000003</v>
      </c>
      <c r="G404" s="180">
        <f t="shared" ref="G404:J404" si="67">SUM(G395:G403)</f>
        <v>0</v>
      </c>
      <c r="H404" s="180">
        <f t="shared" si="67"/>
        <v>820</v>
      </c>
      <c r="I404" s="180">
        <f t="shared" si="67"/>
        <v>126</v>
      </c>
      <c r="J404" s="180">
        <f t="shared" si="67"/>
        <v>0</v>
      </c>
      <c r="K404" s="180">
        <f>SUM(K395:K403)</f>
        <v>26065.282375000003</v>
      </c>
    </row>
    <row r="405" spans="1:11" ht="25.5" customHeight="1" thickBot="1">
      <c r="B405" s="33"/>
      <c r="D405" s="110"/>
      <c r="E405" s="174" t="s">
        <v>329</v>
      </c>
      <c r="F405" s="175">
        <f>F404-[15]MADRE!$H$500</f>
        <v>0</v>
      </c>
      <c r="G405" s="175">
        <f>G404-[2]MADRE!I$513</f>
        <v>0</v>
      </c>
      <c r="H405" s="175">
        <f>H404-[15]MADRE!$J$500</f>
        <v>0</v>
      </c>
      <c r="I405" s="175">
        <f>I404-[15]MADRE!$K$500</f>
        <v>0</v>
      </c>
      <c r="J405" s="175">
        <f>J404-[3]MADRE!$L$500</f>
        <v>0</v>
      </c>
      <c r="K405" s="175">
        <f>K404-[3]MADRE!$M$500</f>
        <v>0</v>
      </c>
    </row>
    <row r="406" spans="1:11" ht="15" customHeight="1">
      <c r="A406" s="26" t="s">
        <v>318</v>
      </c>
      <c r="B406" s="324"/>
      <c r="C406" s="109"/>
      <c r="D406" s="109"/>
      <c r="E406" s="29"/>
      <c r="F406" s="29"/>
      <c r="G406" s="29"/>
      <c r="H406" s="29"/>
      <c r="I406" s="29"/>
      <c r="J406" s="397"/>
      <c r="K406" s="29"/>
    </row>
    <row r="407" spans="1:11" s="5" customFormat="1" ht="51" customHeight="1" thickBot="1">
      <c r="A407" s="65" t="s">
        <v>289</v>
      </c>
      <c r="B407" s="23" t="s">
        <v>110</v>
      </c>
      <c r="C407" s="40" t="s">
        <v>319</v>
      </c>
      <c r="D407" s="23" t="s">
        <v>323</v>
      </c>
      <c r="E407" s="24" t="s">
        <v>288</v>
      </c>
      <c r="F407" s="171">
        <f>2210*1.04*1.05*1.05</f>
        <v>2533.9860000000003</v>
      </c>
      <c r="G407" s="171"/>
      <c r="H407" s="171">
        <v>165</v>
      </c>
      <c r="I407" s="181"/>
      <c r="J407" s="181"/>
      <c r="K407" s="171">
        <f>F407+H407+J407</f>
        <v>2698.9860000000003</v>
      </c>
    </row>
    <row r="408" spans="1:11" ht="25.5" customHeight="1" thickTop="1" thickBot="1">
      <c r="B408" s="33"/>
      <c r="D408" s="23"/>
      <c r="E408" s="56" t="s">
        <v>6</v>
      </c>
      <c r="F408" s="180">
        <f t="shared" ref="F408:J408" si="68">SUM(F407)</f>
        <v>2533.9860000000003</v>
      </c>
      <c r="G408" s="180">
        <f t="shared" si="68"/>
        <v>0</v>
      </c>
      <c r="H408" s="180">
        <f t="shared" si="68"/>
        <v>165</v>
      </c>
      <c r="I408" s="180">
        <f t="shared" si="68"/>
        <v>0</v>
      </c>
      <c r="J408" s="180">
        <f t="shared" si="68"/>
        <v>0</v>
      </c>
      <c r="K408" s="180">
        <f>SUM(K407)</f>
        <v>2698.9860000000003</v>
      </c>
    </row>
    <row r="409" spans="1:11" ht="25.5" customHeight="1" thickBot="1">
      <c r="B409" s="33"/>
      <c r="D409" s="110"/>
      <c r="E409" s="174" t="s">
        <v>329</v>
      </c>
      <c r="F409" s="175">
        <f>F408-[1]MADRE!$H$506</f>
        <v>0</v>
      </c>
      <c r="G409" s="175">
        <f>G408-[2]MADRE!I$521</f>
        <v>0</v>
      </c>
      <c r="H409" s="175">
        <f>H408-[2]MADRE!J$521</f>
        <v>0</v>
      </c>
      <c r="I409" s="175">
        <f>I408-[2]MADRE!K$521</f>
        <v>0</v>
      </c>
      <c r="J409" s="175">
        <f>J408-[3]MADRE!$L$508</f>
        <v>0</v>
      </c>
      <c r="K409" s="175">
        <f>K408-[3]MADRE!$M$508</f>
        <v>0</v>
      </c>
    </row>
  </sheetData>
  <autoFilter ref="A6:HM185"/>
  <phoneticPr fontId="20" type="noConversion"/>
  <conditionalFormatting sqref="C336 C330 C128 C61 C281:C282 C158:C164 C260:C261 C75 C244:C246 C208:C220 C19 C7:C16 C146 C106:C107 C306:C308 C284:C287 C120 C188:C189 C251 C265 C278:C279 C334 C360 C407 C338:C344 C197:C202 C34 C319 C372:C374 C79 C229:C230 C150 C116 C98 C28:C30 C84 C180:C181 C23 C137:C141 C124 C346:C347 C395:C403 C224:C226 C312 C48">
    <cfRule type="containsText" dxfId="20" priority="2446" operator="containsText" text="ELE">
      <formula>NOT(ISERROR(SEARCH("ELE",C7)))</formula>
    </cfRule>
    <cfRule type="containsText" dxfId="19" priority="2447" operator="containsText" text="EVO">
      <formula>NOT(ISERROR(SEARCH("EVO",C7)))</formula>
    </cfRule>
    <cfRule type="containsText" dxfId="18" priority="2462" operator="containsText" text="ELE">
      <formula>NOT(ISERROR(SEARCH("ELE",C7)))</formula>
    </cfRule>
    <cfRule type="containsText" dxfId="17" priority="2463" operator="containsText" text="EVO">
      <formula>NOT(ISERROR(SEARCH("EVO",C7)))</formula>
    </cfRule>
  </conditionalFormatting>
  <conditionalFormatting sqref="C280 C302 C133:C136 C142 C57 C187:C190 C309:C311 C313 C226 C30 C151:C157 C125:C131 C181:C182 C255:C259 C201 C206:C207 C402 C24 C43:C45 C174:C176 C266:C267 C335 C337 C351:C359 C323:C329 C283 C291:C298 C361:C371 C271:C277 C111:C112 C99:C102 C35:C39 C194:C196 C168:C170 C375:C391 C65:C71 C97 C106:C107 C234:C243 C47:C48 C80:C83 C317:C318 C88:C93 C52:C53">
    <cfRule type="containsText" dxfId="16" priority="2444" operator="containsText" text="ELE">
      <formula>NOT(ISERROR(SEARCH("ELE",C24)))</formula>
    </cfRule>
    <cfRule type="containsText" dxfId="15" priority="2445" operator="containsText" text="EVO">
      <formula>NOT(ISERROR(SEARCH("EVO",C24)))</formula>
    </cfRule>
  </conditionalFormatting>
  <conditionalFormatting sqref="F21:K21 F55:K55 F26:K26 F41:K41 F50:K50 F73:K73 F77:K77 F86:K86 F95:K95 F104:K104 F122:K122 F232:K232 F131:K131 F144:K144 F148:K148 F166:K166 F172:K172 F178:K178 F184:K184 F192:K192 F204:K204 F248:K248 F253:K253 F263:K263 F269:K269 F300:K300 F304:K304 F315:K315 F118:K118 F321:K321 F332:K332 F344:K344 F349:K349 F393:K393 F405:K405 F17:K17 F109:K109 F409:K409 F63:K63 F228:K228 F32:K32 F59:K59 F45:K45">
    <cfRule type="cellIs" dxfId="14" priority="1254" operator="lessThan">
      <formula>0</formula>
    </cfRule>
    <cfRule type="cellIs" dxfId="13" priority="1293" operator="greaterThan">
      <formula>0</formula>
    </cfRule>
    <cfRule type="cellIs" dxfId="12" priority="1294" operator="equal">
      <formula>0</formula>
    </cfRule>
  </conditionalFormatting>
  <conditionalFormatting sqref="F114:K114 F222:K222 F289:K289">
    <cfRule type="cellIs" dxfId="11" priority="1235" operator="lessThan">
      <formula>0</formula>
    </cfRule>
    <cfRule type="cellIs" dxfId="10" priority="1236" operator="greaterThan">
      <formula>0</formula>
    </cfRule>
    <cfRule type="cellIs" dxfId="9" priority="1237" operator="equal">
      <formula>0</formula>
    </cfRule>
    <cfRule type="cellIs" dxfId="8" priority="1238" operator="lessThan">
      <formula>0</formula>
    </cfRule>
    <cfRule type="cellIs" dxfId="7" priority="1239" operator="greaterThan">
      <formula>0</formula>
    </cfRule>
    <cfRule type="cellIs" dxfId="6" priority="1240" operator="equal">
      <formula>0</formula>
    </cfRule>
  </conditionalFormatting>
  <printOptions verticalCentered="1"/>
  <pageMargins left="0.7" right="0.7" top="0.75" bottom="0.75" header="0.3" footer="0.3"/>
  <pageSetup orientation="landscape" horizontalDpi="300" verticalDpi="300" r:id="rId1"/>
  <headerFooter alignWithMargins="0">
    <oddFooter>&amp;C&amp;12Página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V37"/>
  <sheetViews>
    <sheetView topLeftCell="A4" zoomScale="60" zoomScaleNormal="60" workbookViewId="0">
      <selection activeCell="I8" sqref="I8"/>
    </sheetView>
  </sheetViews>
  <sheetFormatPr baseColWidth="10" defaultColWidth="11.28515625" defaultRowHeight="18.75"/>
  <cols>
    <col min="1" max="1" width="7.5703125" style="2" customWidth="1"/>
    <col min="2" max="2" width="6.42578125" style="2" customWidth="1"/>
    <col min="3" max="3" width="6.85546875" style="2" customWidth="1"/>
    <col min="4" max="4" width="36" style="70" customWidth="1"/>
    <col min="5" max="5" width="23.42578125" style="62" customWidth="1"/>
    <col min="6" max="6" width="35" style="59" customWidth="1"/>
    <col min="7" max="7" width="18.7109375" style="59" customWidth="1"/>
    <col min="8" max="8" width="15.7109375" style="59" customWidth="1"/>
    <col min="9" max="9" width="12.5703125" style="59" customWidth="1"/>
    <col min="10" max="10" width="15.7109375" style="59" customWidth="1"/>
    <col min="11" max="11" width="27.28515625" style="59" customWidth="1"/>
    <col min="12" max="12" width="16.85546875" style="59" customWidth="1"/>
    <col min="13" max="13" width="18.85546875" style="1" customWidth="1"/>
    <col min="14" max="16384" width="11.28515625" style="1"/>
  </cols>
  <sheetData>
    <row r="1" spans="1:22" ht="15" customHeight="1">
      <c r="F1" s="259"/>
      <c r="H1" s="259"/>
      <c r="I1" s="62" t="s">
        <v>128</v>
      </c>
      <c r="J1" s="259"/>
      <c r="K1" s="259"/>
      <c r="L1" s="259"/>
    </row>
    <row r="2" spans="1:22" ht="15" customHeight="1">
      <c r="F2" s="259"/>
      <c r="H2" s="259"/>
      <c r="I2" s="62" t="str">
        <f>'MADRE BANCO'!H2</f>
        <v>ADMINISTRACIÓN 2021-2024</v>
      </c>
      <c r="J2" s="259"/>
      <c r="K2" s="259"/>
      <c r="L2" s="259"/>
    </row>
    <row r="3" spans="1:22" ht="15" customHeight="1">
      <c r="F3" s="259"/>
      <c r="H3" s="259"/>
      <c r="I3" s="62" t="s">
        <v>291</v>
      </c>
      <c r="J3" s="259"/>
      <c r="K3" s="259"/>
      <c r="L3" s="259"/>
    </row>
    <row r="4" spans="1:22" ht="15" customHeight="1">
      <c r="F4" s="259"/>
      <c r="H4" s="259"/>
      <c r="I4" s="62" t="str">
        <f>'MADRE BANCO'!H4</f>
        <v>Nómina que corresponde a la 1er.   (primer     )QUINCENA   del mes de ABRIL de 2024.</v>
      </c>
      <c r="J4" s="259"/>
      <c r="K4" s="259"/>
      <c r="L4" s="259"/>
    </row>
    <row r="5" spans="1:22" ht="15" customHeight="1">
      <c r="D5" s="309"/>
      <c r="E5" s="403"/>
      <c r="F5" s="309"/>
      <c r="G5" s="309"/>
      <c r="H5" s="309"/>
      <c r="I5" s="309"/>
      <c r="J5" s="309"/>
      <c r="K5" s="309"/>
      <c r="L5" s="309"/>
    </row>
    <row r="6" spans="1:22" s="7" customFormat="1" ht="56.25" customHeight="1">
      <c r="A6" s="288" t="s">
        <v>447</v>
      </c>
      <c r="B6" s="288" t="s">
        <v>448</v>
      </c>
      <c r="C6" s="288" t="s">
        <v>449</v>
      </c>
      <c r="D6" s="260" t="s">
        <v>0</v>
      </c>
      <c r="E6" s="27" t="s">
        <v>322</v>
      </c>
      <c r="F6" s="27" t="s">
        <v>1</v>
      </c>
      <c r="G6" s="27" t="s">
        <v>2</v>
      </c>
      <c r="H6" s="27" t="s">
        <v>3</v>
      </c>
      <c r="I6" s="27" t="s">
        <v>4</v>
      </c>
      <c r="J6" s="27" t="s">
        <v>340</v>
      </c>
      <c r="K6" s="27" t="s">
        <v>352</v>
      </c>
      <c r="L6" s="27" t="s">
        <v>5</v>
      </c>
    </row>
    <row r="7" spans="1:22" ht="54.75" customHeight="1">
      <c r="A7" s="2">
        <v>1</v>
      </c>
      <c r="C7" s="2">
        <v>1</v>
      </c>
      <c r="D7" s="261" t="s">
        <v>532</v>
      </c>
      <c r="E7" s="263" t="s">
        <v>323</v>
      </c>
      <c r="F7" s="25" t="s">
        <v>687</v>
      </c>
      <c r="G7" s="264">
        <f>4000*1.04*1.05*1.05</f>
        <v>4586.4000000000005</v>
      </c>
      <c r="H7" s="264"/>
      <c r="I7" s="265"/>
      <c r="J7" s="265"/>
      <c r="K7" s="265"/>
      <c r="L7" s="265">
        <f>G7-H7+I7+J7+K7</f>
        <v>4586.4000000000005</v>
      </c>
    </row>
    <row r="8" spans="1:22" ht="54.75" customHeight="1">
      <c r="A8" s="2">
        <v>1</v>
      </c>
      <c r="B8" s="2">
        <v>1</v>
      </c>
      <c r="D8" s="261" t="s">
        <v>616</v>
      </c>
      <c r="E8" s="263" t="s">
        <v>323</v>
      </c>
      <c r="F8" s="25" t="s">
        <v>686</v>
      </c>
      <c r="G8" s="264">
        <f>1487*1.05*1.05*1.05</f>
        <v>1721.3883750000002</v>
      </c>
      <c r="H8" s="264"/>
      <c r="I8" s="265">
        <v>150</v>
      </c>
      <c r="J8" s="265"/>
      <c r="K8" s="265"/>
      <c r="L8" s="265">
        <f t="shared" ref="L8:L24" si="0">G8-H8+I8+J8+K8</f>
        <v>1871.3883750000002</v>
      </c>
    </row>
    <row r="9" spans="1:22" ht="54.75" customHeight="1">
      <c r="A9" s="2">
        <v>1</v>
      </c>
      <c r="C9" s="2">
        <v>1</v>
      </c>
      <c r="D9" s="63" t="s">
        <v>414</v>
      </c>
      <c r="E9" s="263" t="s">
        <v>323</v>
      </c>
      <c r="F9" s="276" t="s">
        <v>688</v>
      </c>
      <c r="G9" s="264">
        <f>1212*1.05*1.05*1.05</f>
        <v>1403.0415000000003</v>
      </c>
      <c r="H9" s="264"/>
      <c r="I9" s="264">
        <v>100</v>
      </c>
      <c r="J9" s="264"/>
      <c r="K9" s="265"/>
      <c r="L9" s="265">
        <f t="shared" si="0"/>
        <v>1503.0415000000003</v>
      </c>
    </row>
    <row r="10" spans="1:22" ht="54.75" customHeight="1">
      <c r="A10" s="2">
        <v>1</v>
      </c>
      <c r="B10" s="2">
        <v>1</v>
      </c>
      <c r="D10" s="63" t="s">
        <v>428</v>
      </c>
      <c r="E10" s="262" t="s">
        <v>323</v>
      </c>
      <c r="F10" s="276" t="s">
        <v>427</v>
      </c>
      <c r="G10" s="264">
        <f>2987*1.05*1.05*1.05</f>
        <v>3457.825875</v>
      </c>
      <c r="H10" s="264"/>
      <c r="I10" s="264">
        <v>90</v>
      </c>
      <c r="J10" s="264"/>
      <c r="K10" s="265"/>
      <c r="L10" s="265">
        <f t="shared" si="0"/>
        <v>3547.825875</v>
      </c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54.75" customHeight="1">
      <c r="A11" s="9">
        <v>1</v>
      </c>
      <c r="B11" s="9"/>
      <c r="C11" s="9">
        <v>1</v>
      </c>
      <c r="D11" s="63" t="s">
        <v>541</v>
      </c>
      <c r="E11" s="262" t="s">
        <v>323</v>
      </c>
      <c r="F11" s="276" t="s">
        <v>537</v>
      </c>
      <c r="G11" s="264">
        <f>4000*1.04*1.05*1.05</f>
        <v>4586.4000000000005</v>
      </c>
      <c r="H11" s="264"/>
      <c r="I11" s="264"/>
      <c r="J11" s="264"/>
      <c r="K11" s="265"/>
      <c r="L11" s="265">
        <f t="shared" si="0"/>
        <v>4586.4000000000005</v>
      </c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54.75" customHeight="1">
      <c r="A12" s="9">
        <v>1</v>
      </c>
      <c r="B12" s="9"/>
      <c r="C12" s="9">
        <v>1</v>
      </c>
      <c r="D12" s="63" t="s">
        <v>626</v>
      </c>
      <c r="E12" s="262" t="s">
        <v>333</v>
      </c>
      <c r="F12" s="276" t="s">
        <v>689</v>
      </c>
      <c r="G12" s="264">
        <f>3000*1.05*1.05</f>
        <v>3307.5</v>
      </c>
      <c r="H12" s="264"/>
      <c r="I12" s="264"/>
      <c r="J12" s="264"/>
      <c r="K12" s="265"/>
      <c r="L12" s="265">
        <f t="shared" si="0"/>
        <v>3307.5</v>
      </c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54.75" customHeight="1">
      <c r="A13" s="9">
        <v>1</v>
      </c>
      <c r="B13" s="9">
        <v>1</v>
      </c>
      <c r="C13" s="9"/>
      <c r="D13" s="63" t="s">
        <v>539</v>
      </c>
      <c r="E13" s="262" t="s">
        <v>323</v>
      </c>
      <c r="F13" s="276" t="s">
        <v>540</v>
      </c>
      <c r="G13" s="264">
        <f>2700*1.05*1.05</f>
        <v>2976.75</v>
      </c>
      <c r="H13" s="264"/>
      <c r="I13" s="264"/>
      <c r="J13" s="264"/>
      <c r="K13" s="265"/>
      <c r="L13" s="265">
        <f t="shared" si="0"/>
        <v>2976.75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54.75" customHeight="1">
      <c r="A14" s="9">
        <v>1</v>
      </c>
      <c r="B14" s="9">
        <v>1</v>
      </c>
      <c r="C14" s="9"/>
      <c r="D14" s="63" t="s">
        <v>543</v>
      </c>
      <c r="E14" s="262" t="s">
        <v>323</v>
      </c>
      <c r="F14" s="276" t="s">
        <v>426</v>
      </c>
      <c r="G14" s="264">
        <f>2400*1.05*1.05</f>
        <v>2646</v>
      </c>
      <c r="H14" s="264"/>
      <c r="I14" s="264"/>
      <c r="J14" s="264"/>
      <c r="K14" s="265"/>
      <c r="L14" s="265">
        <f t="shared" si="0"/>
        <v>2646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54.75" customHeight="1">
      <c r="A15" s="9">
        <v>1</v>
      </c>
      <c r="B15" s="9">
        <v>1</v>
      </c>
      <c r="C15" s="9"/>
      <c r="D15" s="65" t="s">
        <v>530</v>
      </c>
      <c r="E15" s="262" t="s">
        <v>323</v>
      </c>
      <c r="F15" s="277" t="s">
        <v>672</v>
      </c>
      <c r="G15" s="264">
        <f>5350*1.05*1.05*1.05</f>
        <v>6193.2937499999998</v>
      </c>
      <c r="H15" s="264">
        <f>140*1.05*1.05*1.05</f>
        <v>162.0675</v>
      </c>
      <c r="I15" s="264"/>
      <c r="J15" s="264"/>
      <c r="K15" s="265"/>
      <c r="L15" s="265">
        <f t="shared" si="0"/>
        <v>6031.2262499999997</v>
      </c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54.75" customHeight="1">
      <c r="A16" s="9">
        <v>1</v>
      </c>
      <c r="B16" s="9">
        <v>1</v>
      </c>
      <c r="C16" s="9"/>
      <c r="D16" s="65" t="s">
        <v>673</v>
      </c>
      <c r="E16" s="262" t="s">
        <v>323</v>
      </c>
      <c r="F16" s="277" t="s">
        <v>672</v>
      </c>
      <c r="G16" s="264">
        <f>5350*1.05</f>
        <v>5617.5</v>
      </c>
      <c r="H16" s="264"/>
      <c r="I16" s="264"/>
      <c r="J16" s="264"/>
      <c r="K16" s="265"/>
      <c r="L16" s="265">
        <f t="shared" si="0"/>
        <v>5617.5</v>
      </c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54.75" customHeight="1">
      <c r="A17" s="9">
        <v>1</v>
      </c>
      <c r="B17" s="9">
        <v>1</v>
      </c>
      <c r="C17" s="9"/>
      <c r="D17" s="65" t="s">
        <v>708</v>
      </c>
      <c r="E17" s="262" t="s">
        <v>323</v>
      </c>
      <c r="F17" s="278" t="s">
        <v>709</v>
      </c>
      <c r="G17" s="264">
        <f>4800*1.05</f>
        <v>5040</v>
      </c>
      <c r="H17" s="264"/>
      <c r="I17" s="264"/>
      <c r="J17" s="264"/>
      <c r="K17" s="265"/>
      <c r="L17" s="265">
        <f t="shared" si="0"/>
        <v>5040</v>
      </c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54.75" customHeight="1">
      <c r="A18" s="9">
        <v>1</v>
      </c>
      <c r="B18" s="9">
        <v>1</v>
      </c>
      <c r="C18" s="9"/>
      <c r="D18" s="65" t="s">
        <v>677</v>
      </c>
      <c r="E18" s="262" t="s">
        <v>333</v>
      </c>
      <c r="F18" s="278" t="s">
        <v>672</v>
      </c>
      <c r="G18" s="264">
        <f>5643.63*1.05</f>
        <v>5925.8115000000007</v>
      </c>
      <c r="H18" s="264">
        <f>147.63*1.05</f>
        <v>155.01150000000001</v>
      </c>
      <c r="I18" s="264"/>
      <c r="J18" s="264"/>
      <c r="K18" s="265"/>
      <c r="L18" s="265">
        <f t="shared" si="0"/>
        <v>5770.8000000000011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16" customFormat="1" ht="54.75" customHeight="1">
      <c r="A19" s="20">
        <v>1</v>
      </c>
      <c r="B19" s="20">
        <v>1</v>
      </c>
      <c r="C19" s="20"/>
      <c r="D19" s="89" t="s">
        <v>651</v>
      </c>
      <c r="E19" s="262" t="s">
        <v>333</v>
      </c>
      <c r="F19" s="353" t="s">
        <v>556</v>
      </c>
      <c r="G19" s="353">
        <f>4190*1.05</f>
        <v>4399.5</v>
      </c>
      <c r="H19" s="353"/>
      <c r="I19" s="353">
        <v>90</v>
      </c>
      <c r="J19" s="422"/>
      <c r="K19" s="265"/>
      <c r="L19" s="265">
        <f t="shared" si="0"/>
        <v>4489.5</v>
      </c>
    </row>
    <row r="20" spans="1:22" s="16" customFormat="1" ht="54.75" customHeight="1">
      <c r="A20" s="20">
        <v>1</v>
      </c>
      <c r="B20" s="20"/>
      <c r="C20" s="20">
        <v>1</v>
      </c>
      <c r="D20" s="89" t="s">
        <v>607</v>
      </c>
      <c r="E20" s="262" t="s">
        <v>333</v>
      </c>
      <c r="F20" s="353" t="s">
        <v>556</v>
      </c>
      <c r="G20" s="353">
        <f>4190*1.05</f>
        <v>4399.5</v>
      </c>
      <c r="H20" s="422"/>
      <c r="I20" s="423">
        <v>90</v>
      </c>
      <c r="J20" s="422"/>
      <c r="K20" s="265"/>
      <c r="L20" s="265">
        <f t="shared" si="0"/>
        <v>4489.5</v>
      </c>
    </row>
    <row r="21" spans="1:22" s="16" customFormat="1" ht="54.75" customHeight="1">
      <c r="A21" s="20">
        <v>1</v>
      </c>
      <c r="B21" s="20">
        <v>1</v>
      </c>
      <c r="C21" s="20"/>
      <c r="D21" s="89" t="s">
        <v>721</v>
      </c>
      <c r="E21" s="262" t="s">
        <v>333</v>
      </c>
      <c r="F21" s="353" t="s">
        <v>672</v>
      </c>
      <c r="G21" s="353">
        <f>4000+800</f>
        <v>4800</v>
      </c>
      <c r="H21" s="422"/>
      <c r="I21" s="423"/>
      <c r="J21" s="422"/>
      <c r="K21" s="265"/>
      <c r="L21" s="265">
        <f t="shared" si="0"/>
        <v>4800</v>
      </c>
    </row>
    <row r="22" spans="1:22" s="16" customFormat="1" ht="54.75" customHeight="1">
      <c r="A22" s="20">
        <v>1</v>
      </c>
      <c r="B22" s="20">
        <v>1</v>
      </c>
      <c r="C22" s="20"/>
      <c r="D22" s="89" t="s">
        <v>722</v>
      </c>
      <c r="E22" s="262" t="s">
        <v>333</v>
      </c>
      <c r="F22" s="353" t="s">
        <v>360</v>
      </c>
      <c r="G22" s="353">
        <f>4580</f>
        <v>4580</v>
      </c>
      <c r="H22" s="422"/>
      <c r="I22" s="423"/>
      <c r="J22" s="422"/>
      <c r="K22" s="265"/>
      <c r="L22" s="265">
        <f t="shared" si="0"/>
        <v>4580</v>
      </c>
    </row>
    <row r="23" spans="1:22" s="16" customFormat="1" ht="54.75" customHeight="1">
      <c r="A23" s="20">
        <v>1</v>
      </c>
      <c r="B23" s="20">
        <v>1</v>
      </c>
      <c r="C23" s="20"/>
      <c r="D23" s="89" t="s">
        <v>745</v>
      </c>
      <c r="E23" s="262" t="s">
        <v>333</v>
      </c>
      <c r="F23" s="353" t="s">
        <v>744</v>
      </c>
      <c r="G23" s="353">
        <f>1984.5</f>
        <v>1984.5</v>
      </c>
      <c r="H23" s="422"/>
      <c r="I23" s="423"/>
      <c r="J23" s="422"/>
      <c r="K23" s="265"/>
      <c r="L23" s="265">
        <f t="shared" si="0"/>
        <v>1984.5</v>
      </c>
    </row>
    <row r="24" spans="1:22" s="16" customFormat="1" ht="54.75" customHeight="1" thickBot="1">
      <c r="A24" s="20">
        <v>1</v>
      </c>
      <c r="B24" s="20">
        <v>1</v>
      </c>
      <c r="C24" s="20"/>
      <c r="D24" s="89" t="s">
        <v>704</v>
      </c>
      <c r="E24" s="262" t="s">
        <v>333</v>
      </c>
      <c r="F24" s="353" t="s">
        <v>705</v>
      </c>
      <c r="G24" s="424">
        <f>3500*1.05</f>
        <v>3675</v>
      </c>
      <c r="H24" s="424"/>
      <c r="I24" s="429"/>
      <c r="J24" s="430"/>
      <c r="K24" s="431"/>
      <c r="L24" s="431">
        <f t="shared" si="0"/>
        <v>3675</v>
      </c>
    </row>
    <row r="25" spans="1:22" ht="30" customHeight="1" thickTop="1" thickBot="1">
      <c r="A25" s="22">
        <f>SUM(A7:A24)</f>
        <v>18</v>
      </c>
      <c r="B25" s="22">
        <f>SUM(B7:B24)</f>
        <v>13</v>
      </c>
      <c r="C25" s="22">
        <f>SUM(C7:C24)</f>
        <v>5</v>
      </c>
      <c r="D25" s="25"/>
      <c r="E25" s="263"/>
      <c r="F25" s="62" t="s">
        <v>6</v>
      </c>
      <c r="G25" s="266">
        <f t="shared" ref="G25:L25" si="1">SUM(G7:G24)</f>
        <v>71300.411000000007</v>
      </c>
      <c r="H25" s="266">
        <f t="shared" si="1"/>
        <v>317.07900000000001</v>
      </c>
      <c r="I25" s="266">
        <f t="shared" si="1"/>
        <v>520</v>
      </c>
      <c r="J25" s="266">
        <f t="shared" si="1"/>
        <v>0</v>
      </c>
      <c r="K25" s="266">
        <f t="shared" si="1"/>
        <v>0</v>
      </c>
      <c r="L25" s="266">
        <f t="shared" si="1"/>
        <v>71503.332000000009</v>
      </c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5.25" customHeight="1" thickBot="1">
      <c r="D26" s="25"/>
      <c r="E26" s="267"/>
      <c r="F26" s="354" t="s">
        <v>329</v>
      </c>
      <c r="G26" s="268">
        <f>G25-[3]EVENTUALES!$H$24</f>
        <v>0</v>
      </c>
      <c r="H26" s="268">
        <f>H25-[1]EVENTUALES!$I$23</f>
        <v>0</v>
      </c>
      <c r="I26" s="268">
        <f>I25-[30]EVENTUALES!$J$24</f>
        <v>0</v>
      </c>
      <c r="J26" s="268">
        <f>J25-[2]EVENTUALES!$K$19</f>
        <v>0</v>
      </c>
      <c r="K26" s="268">
        <f>[14]EVENTUALES!$K$25</f>
        <v>0</v>
      </c>
      <c r="L26" s="268">
        <f>[14]EVENTUALES!$K$25</f>
        <v>0</v>
      </c>
    </row>
    <row r="27" spans="1:22" ht="18.75" customHeight="1">
      <c r="E27" s="269"/>
      <c r="F27" s="269" t="s">
        <v>328</v>
      </c>
      <c r="G27" s="270">
        <f>G25</f>
        <v>71300.411000000007</v>
      </c>
      <c r="H27" s="270">
        <f t="shared" ref="H27:L27" si="2">H25</f>
        <v>317.07900000000001</v>
      </c>
      <c r="I27" s="270">
        <f t="shared" si="2"/>
        <v>520</v>
      </c>
      <c r="J27" s="270">
        <f t="shared" si="2"/>
        <v>0</v>
      </c>
      <c r="K27" s="270">
        <f t="shared" si="2"/>
        <v>0</v>
      </c>
      <c r="L27" s="270">
        <f t="shared" si="2"/>
        <v>71503.332000000009</v>
      </c>
    </row>
    <row r="28" spans="1:22" ht="12.75" customHeight="1"/>
    <row r="29" spans="1:22" ht="12.75" customHeight="1"/>
    <row r="30" spans="1:22" ht="12.75" customHeight="1"/>
    <row r="31" spans="1:22" ht="12.75" customHeight="1">
      <c r="A31" s="2">
        <v>1</v>
      </c>
    </row>
    <row r="32" spans="1:22" ht="12.75" customHeight="1"/>
    <row r="33" spans="12:12" ht="12.75" customHeight="1">
      <c r="L33" s="280"/>
    </row>
    <row r="34" spans="12:12" ht="12.75" customHeight="1"/>
    <row r="35" spans="12:12" ht="12.75" customHeight="1"/>
    <row r="36" spans="12:12" ht="12.75" customHeight="1"/>
    <row r="37" spans="12:12" ht="12.75" customHeight="1"/>
  </sheetData>
  <autoFilter ref="A5:L27"/>
  <conditionalFormatting sqref="G26:L26">
    <cfRule type="cellIs" dxfId="5" priority="206" operator="lessThan">
      <formula>0</formula>
    </cfRule>
    <cfRule type="cellIs" dxfId="4" priority="207" operator="greaterThan">
      <formula>0</formula>
    </cfRule>
    <cfRule type="cellIs" dxfId="3" priority="20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S39"/>
  <sheetViews>
    <sheetView topLeftCell="D1" zoomScale="80" zoomScaleNormal="80" workbookViewId="0">
      <selection activeCell="K9" sqref="K9"/>
    </sheetView>
  </sheetViews>
  <sheetFormatPr baseColWidth="10" defaultRowHeight="15"/>
  <cols>
    <col min="1" max="1" width="5.28515625" style="18" hidden="1" customWidth="1"/>
    <col min="2" max="2" width="6.42578125" style="18" hidden="1" customWidth="1"/>
    <col min="3" max="3" width="7.7109375" style="18" hidden="1" customWidth="1"/>
    <col min="4" max="4" width="28.42578125" style="16" customWidth="1"/>
    <col min="5" max="5" width="11.7109375" customWidth="1"/>
    <col min="6" max="6" width="30.42578125" style="355" customWidth="1"/>
    <col min="7" max="7" width="17.42578125" style="378" customWidth="1"/>
    <col min="8" max="8" width="15.5703125" style="373" customWidth="1"/>
    <col min="9" max="9" width="16.85546875" style="385" customWidth="1"/>
    <col min="10" max="10" width="12.85546875" style="373" customWidth="1"/>
    <col min="11" max="11" width="24.140625" style="372" customWidth="1"/>
    <col min="12" max="12" width="18.140625" style="373" customWidth="1"/>
  </cols>
  <sheetData>
    <row r="1" spans="1:19" ht="15.75">
      <c r="D1" s="3"/>
      <c r="E1" s="10"/>
      <c r="F1" s="28"/>
      <c r="G1" s="364"/>
      <c r="H1" s="365"/>
      <c r="I1" s="379" t="s">
        <v>128</v>
      </c>
      <c r="J1" s="365"/>
      <c r="K1" s="393"/>
      <c r="L1" s="365"/>
    </row>
    <row r="2" spans="1:19" ht="15.75">
      <c r="D2" s="3"/>
      <c r="E2" s="10"/>
      <c r="F2" s="28"/>
      <c r="G2" s="364"/>
      <c r="H2" s="365"/>
      <c r="I2" s="379" t="s">
        <v>523</v>
      </c>
      <c r="J2" s="365"/>
      <c r="K2" s="393"/>
      <c r="L2" s="365"/>
    </row>
    <row r="3" spans="1:19" ht="15.75">
      <c r="D3" s="3"/>
      <c r="E3" s="10"/>
      <c r="F3" s="28"/>
      <c r="G3" s="364"/>
      <c r="H3" s="365"/>
      <c r="I3" s="379" t="s">
        <v>291</v>
      </c>
      <c r="J3" s="365"/>
      <c r="K3" s="393"/>
      <c r="L3" s="365"/>
    </row>
    <row r="4" spans="1:19" ht="15.75">
      <c r="D4" s="3"/>
      <c r="E4" s="10"/>
      <c r="F4" s="357"/>
      <c r="G4" s="364"/>
      <c r="H4" s="365"/>
      <c r="I4" s="379" t="str">
        <f>'MADRE BANCO'!H4</f>
        <v>Nómina que corresponde a la 1er.   (primer     )QUINCENA   del mes de ABRIL de 2024.</v>
      </c>
      <c r="J4" s="365"/>
      <c r="K4" s="393"/>
      <c r="L4" s="365"/>
    </row>
    <row r="5" spans="1:19" ht="18">
      <c r="D5" s="388"/>
      <c r="E5" s="11"/>
      <c r="F5" s="29"/>
      <c r="G5" s="366"/>
      <c r="H5" s="367"/>
      <c r="I5" s="380"/>
      <c r="J5" s="367"/>
      <c r="K5" s="394"/>
      <c r="L5" s="367"/>
    </row>
    <row r="6" spans="1:19" s="286" customFormat="1" ht="74.25" customHeight="1">
      <c r="A6" s="362" t="s">
        <v>447</v>
      </c>
      <c r="B6" s="362" t="s">
        <v>448</v>
      </c>
      <c r="C6" s="362" t="s">
        <v>449</v>
      </c>
      <c r="D6" s="361" t="s">
        <v>0</v>
      </c>
      <c r="E6" s="361" t="s">
        <v>322</v>
      </c>
      <c r="F6" s="361" t="s">
        <v>1</v>
      </c>
      <c r="G6" s="368" t="s">
        <v>2</v>
      </c>
      <c r="H6" s="369" t="s">
        <v>3</v>
      </c>
      <c r="I6" s="381" t="s">
        <v>4</v>
      </c>
      <c r="J6" s="369" t="s">
        <v>340</v>
      </c>
      <c r="K6" s="369" t="s">
        <v>352</v>
      </c>
      <c r="L6" s="369" t="s">
        <v>5</v>
      </c>
    </row>
    <row r="7" spans="1:19" s="16" customFormat="1" ht="30.75" customHeight="1">
      <c r="A7" s="19">
        <v>1</v>
      </c>
      <c r="B7" s="19">
        <v>1</v>
      </c>
      <c r="C7" s="19"/>
      <c r="D7" s="389" t="s">
        <v>698</v>
      </c>
      <c r="E7" s="8" t="s">
        <v>324</v>
      </c>
      <c r="F7" s="39" t="s">
        <v>617</v>
      </c>
      <c r="G7" s="370">
        <f>10439.52*1.05*1.05</f>
        <v>11509.570800000001</v>
      </c>
      <c r="H7" s="371">
        <f>458.64*1.05*1.05</f>
        <v>505.6506</v>
      </c>
      <c r="I7" s="382"/>
      <c r="J7" s="371"/>
      <c r="K7" s="371"/>
      <c r="L7" s="371">
        <f>G7-H7+I7+K7</f>
        <v>11003.9202</v>
      </c>
    </row>
    <row r="8" spans="1:19" s="16" customFormat="1" ht="44.25" customHeight="1">
      <c r="A8" s="20">
        <v>1</v>
      </c>
      <c r="B8" s="20">
        <v>1</v>
      </c>
      <c r="C8" s="20"/>
      <c r="D8" s="289" t="s">
        <v>623</v>
      </c>
      <c r="E8" s="8" t="s">
        <v>324</v>
      </c>
      <c r="F8" s="40" t="s">
        <v>659</v>
      </c>
      <c r="G8" s="370">
        <f>4410*1.05*1.05</f>
        <v>4862.0250000000005</v>
      </c>
      <c r="H8" s="371"/>
      <c r="I8" s="382">
        <v>90</v>
      </c>
      <c r="J8" s="371"/>
      <c r="K8" s="371"/>
      <c r="L8" s="371">
        <f t="shared" ref="L8:L35" si="0">G8-H8+I8+K8</f>
        <v>4952.0250000000005</v>
      </c>
    </row>
    <row r="9" spans="1:19" s="16" customFormat="1" ht="34.5" customHeight="1">
      <c r="A9" s="20">
        <v>1</v>
      </c>
      <c r="B9" s="20">
        <v>1</v>
      </c>
      <c r="C9" s="20"/>
      <c r="D9" s="289" t="s">
        <v>547</v>
      </c>
      <c r="E9" s="8" t="s">
        <v>324</v>
      </c>
      <c r="F9" s="40" t="s">
        <v>548</v>
      </c>
      <c r="G9" s="370">
        <f>4278.25*1.05*1.05</f>
        <v>4716.770625000001</v>
      </c>
      <c r="H9" s="371"/>
      <c r="I9" s="382"/>
      <c r="J9" s="371"/>
      <c r="K9" s="371"/>
      <c r="L9" s="371">
        <f t="shared" si="0"/>
        <v>4716.770625000001</v>
      </c>
    </row>
    <row r="10" spans="1:19" s="16" customFormat="1" ht="34.5" customHeight="1">
      <c r="A10" s="20">
        <v>1</v>
      </c>
      <c r="B10" s="20">
        <v>1</v>
      </c>
      <c r="C10" s="20"/>
      <c r="D10" s="289" t="s">
        <v>624</v>
      </c>
      <c r="E10" s="8" t="s">
        <v>324</v>
      </c>
      <c r="F10" s="40" t="s">
        <v>548</v>
      </c>
      <c r="G10" s="370">
        <f>4278.25*1.05*1.05</f>
        <v>4716.770625000001</v>
      </c>
      <c r="H10" s="371"/>
      <c r="I10" s="382"/>
      <c r="J10" s="371"/>
      <c r="K10" s="371"/>
      <c r="L10" s="371">
        <f t="shared" si="0"/>
        <v>4716.770625000001</v>
      </c>
    </row>
    <row r="11" spans="1:19" s="16" customFormat="1" ht="34.5" customHeight="1">
      <c r="A11" s="20">
        <v>1</v>
      </c>
      <c r="B11" s="20"/>
      <c r="C11" s="20">
        <v>1</v>
      </c>
      <c r="D11" s="289" t="s">
        <v>680</v>
      </c>
      <c r="E11" s="8" t="s">
        <v>324</v>
      </c>
      <c r="F11" s="40" t="s">
        <v>548</v>
      </c>
      <c r="G11" s="370">
        <f>4200*1.05</f>
        <v>4410</v>
      </c>
      <c r="H11" s="371"/>
      <c r="I11" s="382"/>
      <c r="J11" s="371"/>
      <c r="K11" s="371"/>
      <c r="L11" s="371">
        <f t="shared" si="0"/>
        <v>4410</v>
      </c>
    </row>
    <row r="12" spans="1:19" s="16" customFormat="1" ht="34.5" customHeight="1">
      <c r="A12" s="20">
        <v>1</v>
      </c>
      <c r="B12" s="20"/>
      <c r="C12" s="20">
        <v>1</v>
      </c>
      <c r="D12" s="289" t="s">
        <v>703</v>
      </c>
      <c r="E12" s="8" t="s">
        <v>324</v>
      </c>
      <c r="F12" s="40" t="s">
        <v>548</v>
      </c>
      <c r="G12" s="370">
        <f>4200*1.05</f>
        <v>4410</v>
      </c>
      <c r="H12" s="371"/>
      <c r="I12" s="382"/>
      <c r="J12" s="371"/>
      <c r="K12" s="371"/>
      <c r="L12" s="371">
        <f t="shared" si="0"/>
        <v>4410</v>
      </c>
    </row>
    <row r="13" spans="1:19" ht="37.5" customHeight="1">
      <c r="A13" s="18">
        <v>1</v>
      </c>
      <c r="C13" s="18">
        <v>1</v>
      </c>
      <c r="D13" s="289" t="s">
        <v>625</v>
      </c>
      <c r="E13" s="8" t="s">
        <v>324</v>
      </c>
      <c r="F13" s="40" t="s">
        <v>548</v>
      </c>
      <c r="G13" s="370">
        <f>4278.25*1.05*1.05</f>
        <v>4716.770625000001</v>
      </c>
      <c r="H13" s="372"/>
      <c r="I13" s="382">
        <v>90</v>
      </c>
      <c r="K13" s="371"/>
      <c r="L13" s="371">
        <f t="shared" si="0"/>
        <v>4806.770625000001</v>
      </c>
      <c r="M13" s="16"/>
      <c r="N13" s="16"/>
      <c r="O13" s="16"/>
      <c r="P13" s="16"/>
      <c r="Q13" s="16"/>
      <c r="R13" s="16"/>
      <c r="S13" s="16"/>
    </row>
    <row r="14" spans="1:19" ht="37.5" customHeight="1">
      <c r="A14" s="18">
        <v>1</v>
      </c>
      <c r="C14" s="18">
        <v>1</v>
      </c>
      <c r="D14" s="289" t="s">
        <v>706</v>
      </c>
      <c r="E14" s="8" t="s">
        <v>324</v>
      </c>
      <c r="F14" s="40" t="s">
        <v>548</v>
      </c>
      <c r="G14" s="370">
        <f>4200*1.05</f>
        <v>4410</v>
      </c>
      <c r="H14" s="372"/>
      <c r="I14" s="382"/>
      <c r="K14" s="371"/>
      <c r="L14" s="371">
        <f t="shared" si="0"/>
        <v>4410</v>
      </c>
      <c r="M14" s="16"/>
      <c r="N14" s="16"/>
      <c r="O14" s="16"/>
      <c r="P14" s="16"/>
      <c r="Q14" s="16"/>
      <c r="R14" s="16"/>
      <c r="S14" s="16"/>
    </row>
    <row r="15" spans="1:19" ht="37.5" customHeight="1">
      <c r="A15" s="18">
        <v>1</v>
      </c>
      <c r="B15" s="18">
        <v>1</v>
      </c>
      <c r="D15" s="289" t="s">
        <v>710</v>
      </c>
      <c r="E15" s="8" t="s">
        <v>324</v>
      </c>
      <c r="F15" s="40" t="s">
        <v>548</v>
      </c>
      <c r="G15" s="370">
        <f>4200*1.05</f>
        <v>4410</v>
      </c>
      <c r="H15" s="372"/>
      <c r="I15" s="382"/>
      <c r="K15" s="371"/>
      <c r="L15" s="371">
        <f t="shared" si="0"/>
        <v>4410</v>
      </c>
      <c r="M15" s="16"/>
      <c r="N15" s="16"/>
      <c r="O15" s="16"/>
      <c r="P15" s="16"/>
      <c r="Q15" s="16"/>
      <c r="R15" s="16"/>
      <c r="S15" s="16"/>
    </row>
    <row r="16" spans="1:19" ht="37.5" customHeight="1">
      <c r="A16" s="18">
        <v>1</v>
      </c>
      <c r="B16" s="18">
        <v>1</v>
      </c>
      <c r="D16" s="289" t="s">
        <v>711</v>
      </c>
      <c r="E16" s="8" t="s">
        <v>324</v>
      </c>
      <c r="F16" s="40" t="s">
        <v>548</v>
      </c>
      <c r="G16" s="370">
        <f>4200*1.05</f>
        <v>4410</v>
      </c>
      <c r="H16" s="372"/>
      <c r="I16" s="382"/>
      <c r="K16" s="371"/>
      <c r="L16" s="371">
        <f t="shared" si="0"/>
        <v>4410</v>
      </c>
      <c r="M16" s="16"/>
      <c r="N16" s="16"/>
      <c r="O16" s="16"/>
      <c r="P16" s="16"/>
      <c r="Q16" s="16"/>
      <c r="R16" s="16"/>
      <c r="S16" s="16"/>
    </row>
    <row r="17" spans="1:19" ht="37.5" customHeight="1">
      <c r="D17" s="289" t="s">
        <v>719</v>
      </c>
      <c r="E17" s="8" t="s">
        <v>324</v>
      </c>
      <c r="F17" s="40" t="s">
        <v>548</v>
      </c>
      <c r="G17" s="370">
        <f>4200*1.05</f>
        <v>4410</v>
      </c>
      <c r="H17" s="372"/>
      <c r="I17" s="382"/>
      <c r="K17" s="371"/>
      <c r="L17" s="371">
        <f t="shared" si="0"/>
        <v>4410</v>
      </c>
      <c r="M17" s="16"/>
      <c r="N17" s="16"/>
      <c r="O17" s="16"/>
      <c r="P17" s="16"/>
      <c r="Q17" s="16"/>
      <c r="R17" s="16"/>
      <c r="S17" s="16"/>
    </row>
    <row r="18" spans="1:19" s="16" customFormat="1" ht="34.5" customHeight="1">
      <c r="A18" s="20">
        <v>1</v>
      </c>
      <c r="B18" s="20"/>
      <c r="C18" s="20">
        <v>1</v>
      </c>
      <c r="D18" s="289" t="s">
        <v>615</v>
      </c>
      <c r="E18" s="8" t="s">
        <v>324</v>
      </c>
      <c r="F18" s="40" t="s">
        <v>401</v>
      </c>
      <c r="G18" s="370">
        <f t="shared" ref="G18:G22" si="1">3800*1.05*1.05</f>
        <v>4189.5</v>
      </c>
      <c r="H18" s="371"/>
      <c r="I18" s="382">
        <v>90</v>
      </c>
      <c r="J18" s="371"/>
      <c r="K18" s="371"/>
      <c r="L18" s="371">
        <f t="shared" si="0"/>
        <v>4279.5</v>
      </c>
    </row>
    <row r="19" spans="1:19" s="16" customFormat="1" ht="34.5" customHeight="1">
      <c r="A19" s="20">
        <v>1</v>
      </c>
      <c r="B19" s="20">
        <v>1</v>
      </c>
      <c r="C19" s="20"/>
      <c r="D19" s="289" t="s">
        <v>620</v>
      </c>
      <c r="E19" s="8" t="s">
        <v>324</v>
      </c>
      <c r="F19" s="318" t="s">
        <v>401</v>
      </c>
      <c r="G19" s="370">
        <f t="shared" si="1"/>
        <v>4189.5</v>
      </c>
      <c r="H19" s="370"/>
      <c r="I19" s="386">
        <v>90</v>
      </c>
      <c r="J19" s="371"/>
      <c r="K19" s="371"/>
      <c r="L19" s="371">
        <f t="shared" si="0"/>
        <v>4279.5</v>
      </c>
    </row>
    <row r="20" spans="1:19" s="16" customFormat="1" ht="34.5" customHeight="1">
      <c r="A20" s="20">
        <v>1</v>
      </c>
      <c r="B20" s="20">
        <v>1</v>
      </c>
      <c r="C20" s="20"/>
      <c r="D20" s="289" t="s">
        <v>638</v>
      </c>
      <c r="E20" s="8" t="s">
        <v>324</v>
      </c>
      <c r="F20" s="318" t="s">
        <v>401</v>
      </c>
      <c r="G20" s="370">
        <f t="shared" si="1"/>
        <v>4189.5</v>
      </c>
      <c r="H20" s="370"/>
      <c r="I20" s="386">
        <v>90</v>
      </c>
      <c r="J20" s="371"/>
      <c r="K20" s="371"/>
      <c r="L20" s="371">
        <f t="shared" si="0"/>
        <v>4279.5</v>
      </c>
    </row>
    <row r="21" spans="1:19" s="16" customFormat="1" ht="34.5" customHeight="1">
      <c r="A21" s="20">
        <v>1</v>
      </c>
      <c r="B21" s="20"/>
      <c r="C21" s="20">
        <v>1</v>
      </c>
      <c r="D21" s="289" t="s">
        <v>670</v>
      </c>
      <c r="E21" s="8" t="s">
        <v>324</v>
      </c>
      <c r="F21" s="318" t="s">
        <v>401</v>
      </c>
      <c r="G21" s="370">
        <f t="shared" si="1"/>
        <v>4189.5</v>
      </c>
      <c r="H21" s="370"/>
      <c r="I21" s="386">
        <v>90</v>
      </c>
      <c r="J21" s="371"/>
      <c r="K21" s="371"/>
      <c r="L21" s="371">
        <f t="shared" si="0"/>
        <v>4279.5</v>
      </c>
    </row>
    <row r="22" spans="1:19" s="16" customFormat="1" ht="34.5" customHeight="1">
      <c r="A22" s="20">
        <v>1</v>
      </c>
      <c r="B22" s="20">
        <v>1</v>
      </c>
      <c r="C22" s="20"/>
      <c r="D22" s="289" t="s">
        <v>676</v>
      </c>
      <c r="E22" s="8" t="s">
        <v>324</v>
      </c>
      <c r="F22" s="318" t="s">
        <v>401</v>
      </c>
      <c r="G22" s="370">
        <f t="shared" si="1"/>
        <v>4189.5</v>
      </c>
      <c r="H22" s="370"/>
      <c r="I22" s="386">
        <v>90</v>
      </c>
      <c r="J22" s="371"/>
      <c r="K22" s="371"/>
      <c r="L22" s="371">
        <f t="shared" si="0"/>
        <v>4279.5</v>
      </c>
    </row>
    <row r="23" spans="1:19" s="16" customFormat="1" ht="44.25" customHeight="1">
      <c r="A23" s="20">
        <v>1</v>
      </c>
      <c r="B23" s="20"/>
      <c r="C23" s="20">
        <v>1</v>
      </c>
      <c r="D23" s="289" t="s">
        <v>524</v>
      </c>
      <c r="E23" s="8" t="s">
        <v>324</v>
      </c>
      <c r="F23" s="318" t="s">
        <v>401</v>
      </c>
      <c r="G23" s="370">
        <f>4200*1.05*1.05*1.05</f>
        <v>4862.0250000000005</v>
      </c>
      <c r="H23" s="371"/>
      <c r="I23" s="382">
        <v>90</v>
      </c>
      <c r="J23" s="371"/>
      <c r="K23" s="371"/>
      <c r="L23" s="371">
        <f t="shared" si="0"/>
        <v>4952.0250000000005</v>
      </c>
    </row>
    <row r="24" spans="1:19" s="16" customFormat="1" ht="34.5" customHeight="1">
      <c r="A24" s="20">
        <v>1</v>
      </c>
      <c r="B24" s="20"/>
      <c r="C24" s="20">
        <v>1</v>
      </c>
      <c r="D24" s="289" t="s">
        <v>683</v>
      </c>
      <c r="E24" s="8" t="s">
        <v>324</v>
      </c>
      <c r="F24" s="318" t="s">
        <v>401</v>
      </c>
      <c r="G24" s="370">
        <f>3800*1.05*1.05</f>
        <v>4189.5</v>
      </c>
      <c r="H24" s="370"/>
      <c r="I24" s="386">
        <v>90</v>
      </c>
      <c r="J24" s="371"/>
      <c r="K24" s="371"/>
      <c r="L24" s="371">
        <f t="shared" si="0"/>
        <v>4279.5</v>
      </c>
    </row>
    <row r="25" spans="1:19" s="16" customFormat="1" ht="34.5" customHeight="1">
      <c r="A25" s="20"/>
      <c r="B25" s="20"/>
      <c r="C25" s="20"/>
      <c r="D25" s="289" t="s">
        <v>724</v>
      </c>
      <c r="E25" s="8" t="s">
        <v>324</v>
      </c>
      <c r="F25" s="318" t="s">
        <v>401</v>
      </c>
      <c r="G25" s="370">
        <f>3800*1.05*1.05</f>
        <v>4189.5</v>
      </c>
      <c r="H25" s="370"/>
      <c r="I25" s="386">
        <v>90</v>
      </c>
      <c r="J25" s="371"/>
      <c r="K25" s="371"/>
      <c r="L25" s="371">
        <f t="shared" si="0"/>
        <v>4279.5</v>
      </c>
    </row>
    <row r="26" spans="1:19" s="16" customFormat="1" ht="34.5" customHeight="1">
      <c r="A26" s="20">
        <v>1</v>
      </c>
      <c r="B26" s="20">
        <v>1</v>
      </c>
      <c r="C26" s="20"/>
      <c r="D26" s="289" t="s">
        <v>663</v>
      </c>
      <c r="E26" s="8" t="s">
        <v>324</v>
      </c>
      <c r="F26" s="40" t="s">
        <v>659</v>
      </c>
      <c r="G26" s="370">
        <f>4410*1.05*1.05</f>
        <v>4862.0250000000005</v>
      </c>
      <c r="H26" s="370"/>
      <c r="I26" s="386">
        <v>90</v>
      </c>
      <c r="J26" s="371"/>
      <c r="K26" s="371"/>
      <c r="L26" s="371">
        <f t="shared" si="0"/>
        <v>4952.0250000000005</v>
      </c>
    </row>
    <row r="27" spans="1:19" s="16" customFormat="1" ht="34.5" customHeight="1">
      <c r="A27" s="20"/>
      <c r="B27" s="20"/>
      <c r="C27" s="20"/>
      <c r="D27" s="289" t="s">
        <v>715</v>
      </c>
      <c r="E27" s="8" t="s">
        <v>324</v>
      </c>
      <c r="F27" s="40" t="s">
        <v>659</v>
      </c>
      <c r="G27" s="370">
        <f>4410*1.05*1.05</f>
        <v>4862.0250000000005</v>
      </c>
      <c r="H27" s="370"/>
      <c r="I27" s="386">
        <v>90</v>
      </c>
      <c r="J27" s="371"/>
      <c r="K27" s="371"/>
      <c r="L27" s="371">
        <f t="shared" si="0"/>
        <v>4952.0250000000005</v>
      </c>
    </row>
    <row r="28" spans="1:19" s="16" customFormat="1" ht="34.5" customHeight="1">
      <c r="A28" s="20"/>
      <c r="B28" s="20"/>
      <c r="C28" s="20"/>
      <c r="D28" s="289" t="s">
        <v>720</v>
      </c>
      <c r="E28" s="8" t="s">
        <v>324</v>
      </c>
      <c r="F28" s="40" t="s">
        <v>659</v>
      </c>
      <c r="G28" s="370">
        <f>4410*1.05*1.05</f>
        <v>4862.0250000000005</v>
      </c>
      <c r="H28" s="370"/>
      <c r="I28" s="386">
        <v>90</v>
      </c>
      <c r="J28" s="371"/>
      <c r="K28" s="371"/>
      <c r="L28" s="371">
        <f t="shared" si="0"/>
        <v>4952.0250000000005</v>
      </c>
    </row>
    <row r="29" spans="1:19" s="16" customFormat="1" ht="34.5" customHeight="1">
      <c r="A29" s="20"/>
      <c r="B29" s="20"/>
      <c r="C29" s="20"/>
      <c r="D29" s="289" t="s">
        <v>730</v>
      </c>
      <c r="E29" s="8" t="s">
        <v>324</v>
      </c>
      <c r="F29" s="40" t="s">
        <v>659</v>
      </c>
      <c r="G29" s="370">
        <f>4410*1.05*1.05</f>
        <v>4862.0250000000005</v>
      </c>
      <c r="H29" s="370"/>
      <c r="I29" s="386">
        <v>90</v>
      </c>
      <c r="J29" s="371"/>
      <c r="K29" s="371"/>
      <c r="L29" s="371">
        <f t="shared" si="0"/>
        <v>4952.0250000000005</v>
      </c>
    </row>
    <row r="30" spans="1:19" s="16" customFormat="1" ht="34.5" customHeight="1">
      <c r="A30" s="20"/>
      <c r="B30" s="20"/>
      <c r="C30" s="20"/>
      <c r="D30" s="289" t="s">
        <v>731</v>
      </c>
      <c r="E30" s="8" t="s">
        <v>324</v>
      </c>
      <c r="F30" s="40" t="s">
        <v>659</v>
      </c>
      <c r="G30" s="370">
        <f>G35</f>
        <v>4862.0250000000005</v>
      </c>
      <c r="H30" s="370"/>
      <c r="I30" s="386">
        <v>90</v>
      </c>
      <c r="J30" s="371"/>
      <c r="K30" s="371"/>
      <c r="L30" s="371">
        <f t="shared" si="0"/>
        <v>4952.0250000000005</v>
      </c>
    </row>
    <row r="31" spans="1:19" s="16" customFormat="1" ht="34.5" customHeight="1">
      <c r="A31" s="20"/>
      <c r="B31" s="20"/>
      <c r="C31" s="20"/>
      <c r="D31" s="289" t="s">
        <v>732</v>
      </c>
      <c r="E31" s="8" t="s">
        <v>324</v>
      </c>
      <c r="F31" s="40" t="s">
        <v>659</v>
      </c>
      <c r="G31" s="370">
        <f>G35</f>
        <v>4862.0250000000005</v>
      </c>
      <c r="H31" s="370"/>
      <c r="I31" s="386">
        <v>90</v>
      </c>
      <c r="J31" s="371"/>
      <c r="K31" s="371"/>
      <c r="L31" s="371">
        <f t="shared" si="0"/>
        <v>4952.0250000000005</v>
      </c>
    </row>
    <row r="32" spans="1:19" s="16" customFormat="1" ht="34.5" customHeight="1">
      <c r="A32" s="20"/>
      <c r="B32" s="20"/>
      <c r="C32" s="20"/>
      <c r="D32" s="289" t="s">
        <v>741</v>
      </c>
      <c r="E32" s="8" t="s">
        <v>324</v>
      </c>
      <c r="F32" s="40" t="s">
        <v>659</v>
      </c>
      <c r="G32" s="370">
        <f>G31</f>
        <v>4862.0250000000005</v>
      </c>
      <c r="H32" s="370"/>
      <c r="I32" s="386">
        <v>90</v>
      </c>
      <c r="J32" s="371"/>
      <c r="K32" s="371"/>
      <c r="L32" s="371">
        <f t="shared" si="0"/>
        <v>4952.0250000000005</v>
      </c>
    </row>
    <row r="33" spans="1:19" s="16" customFormat="1" ht="34.5" customHeight="1">
      <c r="A33" s="20"/>
      <c r="B33" s="20"/>
      <c r="C33" s="20"/>
      <c r="D33" s="289" t="s">
        <v>737</v>
      </c>
      <c r="E33" s="8" t="s">
        <v>324</v>
      </c>
      <c r="F33" s="40" t="s">
        <v>659</v>
      </c>
      <c r="G33" s="370">
        <f>G31</f>
        <v>4862.0250000000005</v>
      </c>
      <c r="H33" s="370"/>
      <c r="I33" s="386">
        <f>I31</f>
        <v>90</v>
      </c>
      <c r="J33" s="371"/>
      <c r="K33" s="371"/>
      <c r="L33" s="371">
        <f t="shared" si="0"/>
        <v>4952.0250000000005</v>
      </c>
    </row>
    <row r="34" spans="1:19" s="16" customFormat="1" ht="34.5" customHeight="1">
      <c r="A34" s="20"/>
      <c r="B34" s="20"/>
      <c r="C34" s="20"/>
      <c r="D34" s="289" t="s">
        <v>742</v>
      </c>
      <c r="E34" s="8" t="s">
        <v>324</v>
      </c>
      <c r="F34" s="40" t="s">
        <v>659</v>
      </c>
      <c r="G34" s="370">
        <f>G32</f>
        <v>4862.0250000000005</v>
      </c>
      <c r="H34" s="370"/>
      <c r="I34" s="386">
        <f>I32</f>
        <v>90</v>
      </c>
      <c r="J34" s="371"/>
      <c r="K34" s="371"/>
      <c r="L34" s="371">
        <f t="shared" si="0"/>
        <v>4952.0250000000005</v>
      </c>
    </row>
    <row r="35" spans="1:19" s="16" customFormat="1" ht="34.5" customHeight="1">
      <c r="A35" s="20"/>
      <c r="B35" s="20"/>
      <c r="C35" s="20"/>
      <c r="D35" s="289" t="s">
        <v>723</v>
      </c>
      <c r="E35" s="8" t="s">
        <v>324</v>
      </c>
      <c r="F35" s="40" t="s">
        <v>659</v>
      </c>
      <c r="G35" s="370">
        <f>4410*1.05*1.05</f>
        <v>4862.0250000000005</v>
      </c>
      <c r="H35" s="370"/>
      <c r="I35" s="386">
        <v>90</v>
      </c>
      <c r="J35" s="371"/>
      <c r="K35" s="371"/>
      <c r="L35" s="371">
        <f t="shared" si="0"/>
        <v>4952.0250000000005</v>
      </c>
    </row>
    <row r="37" spans="1:19" ht="16.5" thickBot="1">
      <c r="A37" s="21">
        <f>SUM(A7:A35)</f>
        <v>18</v>
      </c>
      <c r="B37" s="21">
        <f>SUM(B7:B35)</f>
        <v>10</v>
      </c>
      <c r="C37" s="21">
        <f>SUM(C7:C35)</f>
        <v>8</v>
      </c>
      <c r="E37" s="6"/>
      <c r="F37" s="56" t="s">
        <v>6</v>
      </c>
      <c r="G37" s="374">
        <f>SUM(G7:G35)</f>
        <v>139790.68267499996</v>
      </c>
      <c r="H37" s="374">
        <f>SUM(H7:H35)</f>
        <v>505.6506</v>
      </c>
      <c r="I37" s="374">
        <f t="shared" ref="I37:L37" si="2">SUM(I7:I35)</f>
        <v>1800</v>
      </c>
      <c r="J37" s="374">
        <f t="shared" si="2"/>
        <v>0</v>
      </c>
      <c r="K37" s="374">
        <f t="shared" si="2"/>
        <v>0</v>
      </c>
      <c r="L37" s="374">
        <f t="shared" si="2"/>
        <v>141085.03207499994</v>
      </c>
      <c r="M37" s="16"/>
      <c r="N37" s="16"/>
      <c r="O37" s="16"/>
      <c r="P37" s="16"/>
      <c r="Q37" s="16"/>
      <c r="R37" s="16"/>
      <c r="S37" s="16"/>
    </row>
    <row r="38" spans="1:19" ht="17.25" thickTop="1" thickBot="1">
      <c r="C38" s="18" t="s">
        <v>441</v>
      </c>
      <c r="E38" s="13"/>
      <c r="F38" s="174" t="s">
        <v>329</v>
      </c>
      <c r="G38" s="375">
        <f>G37-'[31]EVENTUALES SP'!$H$37</f>
        <v>0</v>
      </c>
      <c r="H38" s="375">
        <f>H37-'[1]EVENTUALES SP'!$I$34</f>
        <v>0</v>
      </c>
      <c r="I38" s="383">
        <f>I37-'[15]EVENTUALES SP'!$J$37</f>
        <v>0</v>
      </c>
      <c r="J38" s="375">
        <f>J37-'[18]EVENTUALES SP'!$K$31</f>
        <v>0</v>
      </c>
      <c r="K38" s="395"/>
      <c r="L38" s="375">
        <f>L37-'[3]EVENTUALES SP'!$M$37</f>
        <v>0</v>
      </c>
      <c r="M38" s="16"/>
      <c r="N38" s="16"/>
      <c r="O38" s="16"/>
      <c r="P38" s="16"/>
      <c r="Q38" s="16"/>
      <c r="R38" s="16"/>
      <c r="S38" s="16"/>
    </row>
    <row r="39" spans="1:19" ht="15.75">
      <c r="E39" s="12"/>
      <c r="F39" s="169" t="s">
        <v>328</v>
      </c>
      <c r="G39" s="376">
        <f t="shared" ref="G39:L39" si="3">G37</f>
        <v>139790.68267499996</v>
      </c>
      <c r="H39" s="377">
        <f t="shared" si="3"/>
        <v>505.6506</v>
      </c>
      <c r="I39" s="384">
        <f t="shared" si="3"/>
        <v>1800</v>
      </c>
      <c r="J39" s="377">
        <f t="shared" si="3"/>
        <v>0</v>
      </c>
      <c r="K39" s="396"/>
      <c r="L39" s="377">
        <f t="shared" si="3"/>
        <v>141085.03207499994</v>
      </c>
    </row>
  </sheetData>
  <autoFilter ref="A5:L39"/>
  <phoneticPr fontId="20" type="noConversion"/>
  <conditionalFormatting sqref="G38:L38">
    <cfRule type="cellIs" dxfId="2" priority="12" operator="lessThan">
      <formula>0</formula>
    </cfRule>
    <cfRule type="cellIs" dxfId="1" priority="13" operator="greaterThan">
      <formula>0</formula>
    </cfRule>
    <cfRule type="cellIs" dxfId="0" priority="1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7" scale="3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MADRE BANCO</vt:lpstr>
      <vt:lpstr>EVENTUALES</vt:lpstr>
      <vt:lpstr>EVENTUALES SP</vt:lpstr>
      <vt:lpstr>'MADRE BANCO'!Área_de_impresión</vt:lpstr>
    </vt:vector>
  </TitlesOfParts>
  <Company>ayuntamiento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jesus</cp:lastModifiedBy>
  <cp:lastPrinted>2024-05-13T19:45:23Z</cp:lastPrinted>
  <dcterms:created xsi:type="dcterms:W3CDTF">2010-04-29T16:52:07Z</dcterms:created>
  <dcterms:modified xsi:type="dcterms:W3CDTF">2024-05-13T19:59:25Z</dcterms:modified>
</cp:coreProperties>
</file>